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45" yWindow="4815" windowWidth="15480" windowHeight="5475" tabRatio="808" firstSheet="1" activeTab="1"/>
  </bookViews>
  <sheets>
    <sheet name="1.НАДОМКА" sheetId="9" state="hidden" r:id="rId1"/>
    <sheet name="1.НАДОМКА " sheetId="15" r:id="rId2"/>
    <sheet name="2.Полустац." sheetId="8" r:id="rId3"/>
    <sheet name="3.СТАЦ. " sheetId="5" r:id="rId4"/>
    <sheet name="3.СТАЦ.(дет.)3.2." sheetId="6" state="hidden" r:id="rId5"/>
    <sheet name="5.БОМЖ" sheetId="12" state="hidden" r:id="rId6"/>
    <sheet name="4.БОМЖ " sheetId="14" r:id="rId7"/>
  </sheets>
  <externalReferences>
    <externalReference r:id="rId8"/>
    <externalReference r:id="rId9"/>
  </externalReferences>
  <definedNames>
    <definedName name="_xlnm._FilterDatabase" localSheetId="0" hidden="1">'1.НАДОМКА'!$A$1:$AA$113</definedName>
    <definedName name="_xlnm._FilterDatabase" localSheetId="1" hidden="1">'1.НАДОМКА '!$A$10:$U$70</definedName>
    <definedName name="_xlnm._FilterDatabase" localSheetId="2" hidden="1">'2.Полустац.'!$A$3:$AG$183</definedName>
    <definedName name="_xlnm._FilterDatabase" localSheetId="3" hidden="1">'3.СТАЦ. '!$A$5:$AA$170</definedName>
    <definedName name="_xlnm._FilterDatabase" localSheetId="6" hidden="1">'4.БОМЖ '!$B$3:$B$36</definedName>
    <definedName name="_xlnm._FilterDatabase" localSheetId="5" hidden="1">'5.БОМЖ'!$B$1:$B$50</definedName>
    <definedName name="_xlnm.Print_Titles" localSheetId="1">'1.НАДОМКА '!$9:$11</definedName>
    <definedName name="_xlnm.Print_Titles" localSheetId="2">'2.Полустац.'!$3:$4</definedName>
    <definedName name="_xlnm.Print_Titles" localSheetId="3">'3.СТАЦ. '!$5:$6</definedName>
    <definedName name="_xlnm.Print_Titles" localSheetId="6">'4.БОМЖ '!$3:$4</definedName>
    <definedName name="_xlnm.Print_Area" localSheetId="2">'2.Полустац.'!$A$1:$AA$186</definedName>
    <definedName name="_xlnm.Print_Area" localSheetId="3">'3.СТАЦ. '!$A$1:$W$610</definedName>
    <definedName name="_xlnm.Print_Area" localSheetId="6">'4.БОМЖ '!$A$1:$F$42</definedName>
  </definedNames>
  <calcPr calcId="145621"/>
</workbook>
</file>

<file path=xl/calcChain.xml><?xml version="1.0" encoding="utf-8"?>
<calcChain xmlns="http://schemas.openxmlformats.org/spreadsheetml/2006/main">
  <c r="D12" i="15" l="1"/>
  <c r="F12" i="15"/>
  <c r="H12" i="15"/>
  <c r="J12" i="15"/>
  <c r="L12" i="15"/>
  <c r="N12" i="15"/>
  <c r="P12" i="15"/>
  <c r="R12" i="15"/>
  <c r="T12" i="15"/>
  <c r="U12" i="15"/>
  <c r="V12" i="15"/>
  <c r="D13" i="15"/>
  <c r="F13" i="15"/>
  <c r="H13" i="15"/>
  <c r="J13" i="15"/>
  <c r="L13" i="15"/>
  <c r="N13" i="15"/>
  <c r="P13" i="15"/>
  <c r="R13" i="15"/>
  <c r="T13" i="15"/>
  <c r="U13" i="15" s="1"/>
  <c r="V13" i="15" s="1"/>
  <c r="D14" i="15"/>
  <c r="F14" i="15"/>
  <c r="H14" i="15"/>
  <c r="J14" i="15"/>
  <c r="L14" i="15"/>
  <c r="N14" i="15"/>
  <c r="P14" i="15"/>
  <c r="R14" i="15"/>
  <c r="T14" i="15"/>
  <c r="V14" i="15"/>
  <c r="D15" i="15"/>
  <c r="F15" i="15"/>
  <c r="H15" i="15"/>
  <c r="J15" i="15"/>
  <c r="L15" i="15"/>
  <c r="N15" i="15"/>
  <c r="P15" i="15"/>
  <c r="R15" i="15"/>
  <c r="T15" i="15"/>
  <c r="V15" i="15"/>
  <c r="D16" i="15"/>
  <c r="F16" i="15"/>
  <c r="H16" i="15"/>
  <c r="J16" i="15"/>
  <c r="L16" i="15"/>
  <c r="N16" i="15"/>
  <c r="P16" i="15"/>
  <c r="R16" i="15"/>
  <c r="T16" i="15"/>
  <c r="U16" i="15"/>
  <c r="V16" i="15" s="1"/>
  <c r="D17" i="15"/>
  <c r="F17" i="15"/>
  <c r="H17" i="15"/>
  <c r="J17" i="15"/>
  <c r="L17" i="15"/>
  <c r="N17" i="15"/>
  <c r="P17" i="15"/>
  <c r="R17" i="15"/>
  <c r="T17" i="15"/>
  <c r="V17" i="15"/>
  <c r="F21" i="14" l="1"/>
  <c r="F6" i="14"/>
  <c r="F8" i="14"/>
  <c r="F9" i="14"/>
  <c r="F11" i="14"/>
  <c r="F12" i="14"/>
  <c r="F13" i="14"/>
  <c r="F15" i="14"/>
  <c r="F16" i="14"/>
  <c r="F17" i="14"/>
  <c r="F18" i="14"/>
  <c r="F20" i="14"/>
  <c r="F22" i="14"/>
  <c r="F23" i="14"/>
  <c r="F24" i="14"/>
  <c r="F25" i="14"/>
  <c r="F27" i="14"/>
  <c r="F28" i="14"/>
  <c r="F30" i="14"/>
  <c r="F32" i="14"/>
  <c r="F33" i="14"/>
  <c r="F34" i="14"/>
  <c r="F35" i="14"/>
  <c r="F36" i="14"/>
  <c r="F37" i="14"/>
  <c r="F38" i="14"/>
  <c r="F40" i="14"/>
  <c r="F41" i="14"/>
  <c r="F42" i="14"/>
  <c r="E280" i="5"/>
  <c r="E282" i="5"/>
  <c r="E283" i="5"/>
  <c r="E284" i="5"/>
  <c r="E285" i="5"/>
  <c r="E286" i="5"/>
  <c r="E287" i="5"/>
  <c r="E288" i="5"/>
  <c r="E290" i="5"/>
  <c r="E291" i="5"/>
  <c r="E292" i="5"/>
  <c r="E293" i="5"/>
  <c r="E294" i="5"/>
  <c r="E295" i="5"/>
  <c r="E296" i="5"/>
  <c r="E297" i="5"/>
  <c r="E298" i="5"/>
  <c r="E299" i="5"/>
  <c r="E300" i="5"/>
  <c r="E301" i="5"/>
  <c r="E302" i="5"/>
  <c r="E303" i="5"/>
  <c r="E304" i="5"/>
  <c r="E305" i="5"/>
  <c r="E306" i="5"/>
  <c r="E307" i="5"/>
  <c r="E308" i="5"/>
  <c r="E309" i="5"/>
  <c r="E310" i="5"/>
  <c r="E311" i="5"/>
  <c r="E312" i="5"/>
  <c r="E313" i="5"/>
  <c r="E314" i="5"/>
  <c r="E315" i="5"/>
  <c r="E316" i="5"/>
  <c r="E317" i="5"/>
  <c r="E318" i="5"/>
  <c r="E319" i="5"/>
  <c r="E321" i="5"/>
  <c r="E322" i="5"/>
  <c r="E323" i="5"/>
  <c r="E325" i="5"/>
  <c r="E326" i="5"/>
  <c r="E329" i="5"/>
  <c r="E330" i="5"/>
  <c r="E331" i="5"/>
  <c r="E332" i="5"/>
  <c r="E333" i="5"/>
  <c r="E334" i="5"/>
  <c r="E335" i="5"/>
  <c r="E336" i="5"/>
  <c r="E337" i="5"/>
  <c r="E338" i="5"/>
  <c r="E339" i="5"/>
  <c r="E340" i="5"/>
  <c r="E342" i="5"/>
  <c r="E343" i="5"/>
  <c r="E344" i="5"/>
  <c r="E346" i="5"/>
  <c r="E347" i="5"/>
  <c r="E348" i="5"/>
  <c r="E349" i="5"/>
  <c r="E350" i="5"/>
  <c r="E351" i="5"/>
  <c r="E352" i="5"/>
  <c r="E356" i="5"/>
  <c r="E357" i="5"/>
  <c r="E359" i="5"/>
  <c r="E360" i="5"/>
  <c r="E362" i="5"/>
  <c r="E363" i="5"/>
  <c r="E367" i="5"/>
  <c r="E368" i="5"/>
  <c r="E369" i="5"/>
  <c r="E383" i="5"/>
  <c r="E387" i="5"/>
  <c r="E388" i="5"/>
  <c r="E389" i="5"/>
  <c r="E390" i="5"/>
  <c r="E391" i="5"/>
  <c r="E392" i="5"/>
  <c r="E393" i="5"/>
  <c r="E394" i="5"/>
  <c r="E395" i="5"/>
  <c r="E396" i="5"/>
  <c r="E397" i="5"/>
  <c r="E398" i="5"/>
  <c r="E399" i="5"/>
  <c r="E405" i="5"/>
  <c r="E406" i="5"/>
  <c r="E407" i="5"/>
  <c r="E408" i="5"/>
  <c r="E409" i="5"/>
  <c r="E410" i="5"/>
  <c r="E411" i="5"/>
  <c r="E412" i="5"/>
  <c r="E413" i="5"/>
  <c r="E414" i="5"/>
  <c r="E415" i="5"/>
  <c r="E416" i="5"/>
  <c r="E417" i="5"/>
  <c r="E419" i="5"/>
  <c r="E420" i="5"/>
  <c r="E421" i="5"/>
  <c r="E422" i="5"/>
  <c r="E423" i="5"/>
  <c r="E424" i="5"/>
  <c r="E425" i="5"/>
  <c r="E426" i="5"/>
  <c r="E427" i="5"/>
  <c r="E428" i="5"/>
  <c r="E429" i="5"/>
  <c r="E430" i="5"/>
  <c r="E432" i="5"/>
  <c r="E433" i="5"/>
  <c r="E434" i="5"/>
  <c r="E435" i="5"/>
  <c r="E436" i="5"/>
  <c r="E438" i="5"/>
  <c r="E439" i="5"/>
  <c r="E440" i="5"/>
  <c r="E441" i="5"/>
  <c r="E442" i="5"/>
  <c r="E443" i="5"/>
  <c r="E444" i="5"/>
  <c r="E447" i="5"/>
  <c r="E448" i="5"/>
  <c r="E449" i="5"/>
  <c r="E450" i="5"/>
  <c r="E451" i="5"/>
  <c r="E452" i="5"/>
  <c r="E453" i="5"/>
  <c r="E454" i="5"/>
  <c r="E455" i="5"/>
  <c r="E456" i="5"/>
  <c r="E457" i="5"/>
  <c r="E458" i="5"/>
  <c r="E459" i="5"/>
  <c r="E460" i="5"/>
  <c r="E462" i="5"/>
  <c r="E463" i="5"/>
  <c r="E464" i="5"/>
  <c r="E465" i="5"/>
  <c r="E466" i="5"/>
  <c r="E467" i="5"/>
  <c r="E468" i="5"/>
  <c r="E469" i="5"/>
  <c r="E470" i="5"/>
  <c r="E471" i="5"/>
  <c r="E472" i="5"/>
  <c r="E486" i="5"/>
  <c r="E485" i="5"/>
  <c r="E484" i="5"/>
  <c r="E483" i="5"/>
  <c r="E482" i="5"/>
  <c r="E481" i="5"/>
  <c r="E480" i="5"/>
  <c r="E479" i="5"/>
  <c r="E478" i="5"/>
  <c r="E477" i="5"/>
  <c r="E476" i="5"/>
  <c r="E475" i="5"/>
  <c r="E474" i="5"/>
  <c r="E487" i="5"/>
  <c r="E489" i="5"/>
  <c r="E490" i="5"/>
  <c r="E491" i="5"/>
  <c r="E492" i="5"/>
  <c r="E494" i="5"/>
  <c r="E495" i="5"/>
  <c r="E496" i="5"/>
  <c r="E498" i="5"/>
  <c r="E499" i="5"/>
  <c r="E500" i="5"/>
  <c r="E503" i="5"/>
  <c r="E504" i="5"/>
  <c r="E505" i="5"/>
  <c r="E506" i="5"/>
  <c r="E507" i="5"/>
  <c r="E508" i="5"/>
  <c r="E509" i="5"/>
  <c r="E510" i="5"/>
  <c r="E511" i="5"/>
  <c r="E512" i="5"/>
  <c r="E513" i="5"/>
  <c r="E514" i="5"/>
  <c r="E515" i="5"/>
  <c r="E517" i="5"/>
  <c r="E518" i="5"/>
  <c r="E519" i="5"/>
  <c r="E520" i="5"/>
  <c r="E521" i="5"/>
  <c r="E522" i="5"/>
  <c r="E523" i="5"/>
  <c r="E524" i="5"/>
  <c r="E525" i="5"/>
  <c r="E526" i="5"/>
  <c r="E527" i="5"/>
  <c r="E528" i="5"/>
  <c r="E529" i="5"/>
  <c r="E530" i="5"/>
  <c r="E531" i="5"/>
  <c r="E532" i="5"/>
  <c r="E533" i="5"/>
  <c r="E534" i="5"/>
  <c r="E535" i="5"/>
  <c r="E536" i="5"/>
  <c r="E537" i="5"/>
  <c r="E538" i="5"/>
  <c r="E539" i="5"/>
  <c r="E540" i="5"/>
  <c r="E541" i="5"/>
  <c r="E543" i="5"/>
  <c r="E545" i="5"/>
  <c r="E546" i="5"/>
  <c r="E547" i="5"/>
  <c r="E548" i="5"/>
  <c r="E549" i="5"/>
  <c r="E550" i="5"/>
  <c r="E551" i="5"/>
  <c r="E555" i="5"/>
  <c r="E556" i="5"/>
  <c r="E557" i="5"/>
  <c r="E558" i="5"/>
  <c r="E559" i="5"/>
  <c r="E560" i="5"/>
  <c r="E562" i="5"/>
  <c r="E563" i="5"/>
  <c r="E564" i="5"/>
  <c r="E565" i="5"/>
  <c r="E566" i="5"/>
  <c r="E567" i="5"/>
  <c r="E568" i="5"/>
  <c r="E569" i="5"/>
  <c r="E570" i="5"/>
  <c r="E571" i="5"/>
  <c r="E573" i="5"/>
  <c r="E575" i="5"/>
  <c r="E576" i="5"/>
  <c r="E577" i="5"/>
  <c r="E578" i="5"/>
  <c r="E579" i="5"/>
  <c r="E580" i="5"/>
  <c r="E582" i="5"/>
  <c r="E583" i="5"/>
  <c r="E584" i="5"/>
  <c r="E585" i="5"/>
  <c r="E586" i="5"/>
  <c r="E587" i="5"/>
  <c r="E588" i="5"/>
  <c r="E589" i="5"/>
  <c r="E590" i="5"/>
  <c r="E592" i="5"/>
  <c r="E593" i="5"/>
  <c r="E595" i="5"/>
  <c r="E596" i="5"/>
  <c r="E598" i="5"/>
  <c r="E600" i="5"/>
  <c r="E601" i="5"/>
  <c r="E602" i="5"/>
  <c r="E604" i="5"/>
  <c r="E606" i="5"/>
  <c r="E607" i="5"/>
  <c r="E609" i="5"/>
  <c r="E122" i="8"/>
  <c r="J54" i="15"/>
  <c r="I56" i="15"/>
  <c r="I47" i="15"/>
  <c r="E268" i="5"/>
  <c r="E267" i="5"/>
  <c r="E223" i="5"/>
  <c r="E149" i="5"/>
  <c r="E145" i="5"/>
  <c r="E141" i="5"/>
  <c r="F139" i="5"/>
  <c r="G139" i="5"/>
  <c r="H139" i="5"/>
  <c r="I139" i="5"/>
  <c r="J139" i="5"/>
  <c r="K139" i="5"/>
  <c r="L139" i="5"/>
  <c r="M139" i="5"/>
  <c r="N139" i="5"/>
  <c r="O139" i="5"/>
  <c r="P139" i="5"/>
  <c r="Q139" i="5"/>
  <c r="R139" i="5"/>
  <c r="S139" i="5"/>
  <c r="T139" i="5"/>
  <c r="U139" i="5"/>
  <c r="V139" i="5"/>
  <c r="W139" i="5"/>
  <c r="X139" i="5"/>
  <c r="Y139" i="5"/>
  <c r="Z139" i="5"/>
  <c r="AA139" i="5"/>
  <c r="E137" i="5"/>
  <c r="E13" i="5"/>
  <c r="E34" i="5"/>
  <c r="E55" i="5"/>
  <c r="E56" i="5"/>
  <c r="E57" i="5"/>
  <c r="E78" i="5"/>
  <c r="E186" i="8"/>
  <c r="E185" i="8"/>
  <c r="E183" i="8"/>
  <c r="E182" i="8"/>
  <c r="E180" i="8"/>
  <c r="E179" i="8"/>
  <c r="E175" i="8"/>
  <c r="E176" i="8"/>
  <c r="E177" i="8"/>
  <c r="E174" i="8"/>
  <c r="E170" i="8"/>
  <c r="E171" i="8"/>
  <c r="E172" i="8"/>
  <c r="E169" i="8"/>
  <c r="E126" i="8"/>
  <c r="E125" i="8"/>
  <c r="E123" i="8"/>
  <c r="E121" i="8"/>
  <c r="E117" i="8"/>
  <c r="E118" i="8"/>
  <c r="E116" i="8"/>
  <c r="E114" i="8"/>
  <c r="E113" i="8"/>
  <c r="E111" i="8"/>
  <c r="E104" i="8"/>
  <c r="E105" i="8"/>
  <c r="E106" i="8"/>
  <c r="E107" i="8"/>
  <c r="E108" i="8"/>
  <c r="E109" i="8"/>
  <c r="E103" i="8"/>
  <c r="E101" i="8"/>
  <c r="E90" i="8"/>
  <c r="E91" i="8"/>
  <c r="E92" i="8"/>
  <c r="E93" i="8"/>
  <c r="E94" i="8"/>
  <c r="E95" i="8"/>
  <c r="E96" i="8"/>
  <c r="E97" i="8"/>
  <c r="E98" i="8"/>
  <c r="E99" i="8"/>
  <c r="E100" i="8"/>
  <c r="E89" i="8"/>
  <c r="E43" i="8"/>
  <c r="E21" i="8"/>
  <c r="E16" i="8"/>
  <c r="V18" i="15"/>
  <c r="V19" i="15"/>
  <c r="V21" i="15"/>
  <c r="V22" i="15"/>
  <c r="V23" i="15"/>
  <c r="V24" i="15"/>
  <c r="V25" i="15"/>
  <c r="V26" i="15"/>
  <c r="V27" i="15"/>
  <c r="V28" i="15"/>
  <c r="V29" i="15"/>
  <c r="V30" i="15"/>
  <c r="V31" i="15"/>
  <c r="V33" i="15"/>
  <c r="V34" i="15"/>
  <c r="V35" i="15"/>
  <c r="V36" i="15"/>
  <c r="V37" i="15"/>
  <c r="V38" i="15"/>
  <c r="V39" i="15"/>
  <c r="V40" i="15"/>
  <c r="V41" i="15"/>
  <c r="V42" i="15"/>
  <c r="V43" i="15"/>
  <c r="V44" i="15"/>
  <c r="V46" i="15"/>
  <c r="V47" i="15"/>
  <c r="V49" i="15"/>
  <c r="V50" i="15"/>
  <c r="V51" i="15"/>
  <c r="V53" i="15"/>
  <c r="V54" i="15"/>
  <c r="V56" i="15"/>
  <c r="V57" i="15"/>
  <c r="V58" i="15"/>
  <c r="V59" i="15"/>
  <c r="V60" i="15"/>
  <c r="V61" i="15"/>
  <c r="V62" i="15"/>
  <c r="V63" i="15"/>
  <c r="V64" i="15"/>
  <c r="V66" i="15"/>
  <c r="V67" i="15"/>
  <c r="V68" i="15"/>
  <c r="V69" i="15"/>
  <c r="V70" i="15"/>
  <c r="V71" i="15"/>
  <c r="V72" i="15"/>
  <c r="R18" i="15"/>
  <c r="R19" i="15"/>
  <c r="R21" i="15"/>
  <c r="R22" i="15"/>
  <c r="R23" i="15"/>
  <c r="R24" i="15"/>
  <c r="R25" i="15"/>
  <c r="R26" i="15"/>
  <c r="R27" i="15"/>
  <c r="R28" i="15"/>
  <c r="R29" i="15"/>
  <c r="R30" i="15"/>
  <c r="R31" i="15"/>
  <c r="R33" i="15"/>
  <c r="R34" i="15"/>
  <c r="R35" i="15"/>
  <c r="R36" i="15"/>
  <c r="R37" i="15"/>
  <c r="R38" i="15"/>
  <c r="R39" i="15"/>
  <c r="R40" i="15"/>
  <c r="R41" i="15"/>
  <c r="R42" i="15"/>
  <c r="R43" i="15"/>
  <c r="R44" i="15"/>
  <c r="R46" i="15"/>
  <c r="R47" i="15"/>
  <c r="R49" i="15"/>
  <c r="R50" i="15"/>
  <c r="R51" i="15"/>
  <c r="R53" i="15"/>
  <c r="R54" i="15"/>
  <c r="R56" i="15"/>
  <c r="R57" i="15"/>
  <c r="R58" i="15"/>
  <c r="R59" i="15"/>
  <c r="R60" i="15"/>
  <c r="R61" i="15"/>
  <c r="R62" i="15"/>
  <c r="R63" i="15"/>
  <c r="R64" i="15"/>
  <c r="R66" i="15"/>
  <c r="R67" i="15"/>
  <c r="R68" i="15"/>
  <c r="R69" i="15"/>
  <c r="R70" i="15"/>
  <c r="R71" i="15"/>
  <c r="R72" i="15"/>
  <c r="N72" i="15"/>
  <c r="N18" i="15"/>
  <c r="N19" i="15"/>
  <c r="N21" i="15"/>
  <c r="N22" i="15"/>
  <c r="N23" i="15"/>
  <c r="N24" i="15"/>
  <c r="N25" i="15"/>
  <c r="N26" i="15"/>
  <c r="N27" i="15"/>
  <c r="N28" i="15"/>
  <c r="N29" i="15"/>
  <c r="N30" i="15"/>
  <c r="N31" i="15"/>
  <c r="N33" i="15"/>
  <c r="N34" i="15"/>
  <c r="N35" i="15"/>
  <c r="N36" i="15"/>
  <c r="N37" i="15"/>
  <c r="N38" i="15"/>
  <c r="N39" i="15"/>
  <c r="N40" i="15"/>
  <c r="N41" i="15"/>
  <c r="N42" i="15"/>
  <c r="N43" i="15"/>
  <c r="N44" i="15"/>
  <c r="N46" i="15"/>
  <c r="N47" i="15"/>
  <c r="N49" i="15"/>
  <c r="N50" i="15"/>
  <c r="N51" i="15"/>
  <c r="N53" i="15"/>
  <c r="N54" i="15"/>
  <c r="N56" i="15"/>
  <c r="N57" i="15"/>
  <c r="N58" i="15"/>
  <c r="N59" i="15"/>
  <c r="N60" i="15"/>
  <c r="N61" i="15"/>
  <c r="N62" i="15"/>
  <c r="N63" i="15"/>
  <c r="N64" i="15"/>
  <c r="N66" i="15"/>
  <c r="N67" i="15"/>
  <c r="N68" i="15"/>
  <c r="N69" i="15"/>
  <c r="N70" i="15"/>
  <c r="N71" i="15"/>
  <c r="J18" i="15"/>
  <c r="J19" i="15"/>
  <c r="J21" i="15"/>
  <c r="J22" i="15"/>
  <c r="J23" i="15"/>
  <c r="J24" i="15"/>
  <c r="J25" i="15"/>
  <c r="J26" i="15"/>
  <c r="J27" i="15"/>
  <c r="J28" i="15"/>
  <c r="J29" i="15"/>
  <c r="J30" i="15"/>
  <c r="J31" i="15"/>
  <c r="J33" i="15"/>
  <c r="J34" i="15"/>
  <c r="J35" i="15"/>
  <c r="J36" i="15"/>
  <c r="J37" i="15"/>
  <c r="J38" i="15"/>
  <c r="J39" i="15"/>
  <c r="J40" i="15"/>
  <c r="J41" i="15"/>
  <c r="J42" i="15"/>
  <c r="J43" i="15"/>
  <c r="J44" i="15"/>
  <c r="J46" i="15"/>
  <c r="J47" i="15"/>
  <c r="J49" i="15"/>
  <c r="J50" i="15"/>
  <c r="J51" i="15"/>
  <c r="J53" i="15"/>
  <c r="J56" i="15"/>
  <c r="J57" i="15"/>
  <c r="J58" i="15"/>
  <c r="J59" i="15"/>
  <c r="J60" i="15"/>
  <c r="J61" i="15"/>
  <c r="J62" i="15"/>
  <c r="J63" i="15"/>
  <c r="J64" i="15"/>
  <c r="J66" i="15"/>
  <c r="J67" i="15"/>
  <c r="J68" i="15"/>
  <c r="J69" i="15"/>
  <c r="J70" i="15"/>
  <c r="J71" i="15"/>
  <c r="J72" i="15"/>
  <c r="F18" i="15"/>
  <c r="F19" i="15"/>
  <c r="F21" i="15"/>
  <c r="F22" i="15"/>
  <c r="F23" i="15"/>
  <c r="F24" i="15"/>
  <c r="F25" i="15"/>
  <c r="F26" i="15"/>
  <c r="F27" i="15"/>
  <c r="F28" i="15"/>
  <c r="F29" i="15"/>
  <c r="F30" i="15"/>
  <c r="F31" i="15"/>
  <c r="F33" i="15"/>
  <c r="F34" i="15"/>
  <c r="F35" i="15"/>
  <c r="F36" i="15"/>
  <c r="F37" i="15"/>
  <c r="F38" i="15"/>
  <c r="F39" i="15"/>
  <c r="F40" i="15"/>
  <c r="F41" i="15"/>
  <c r="F42" i="15"/>
  <c r="F43" i="15"/>
  <c r="F44" i="15"/>
  <c r="F46" i="15"/>
  <c r="F47" i="15"/>
  <c r="F49" i="15"/>
  <c r="F50" i="15"/>
  <c r="F51" i="15"/>
  <c r="F53" i="15"/>
  <c r="F54" i="15"/>
  <c r="F56" i="15"/>
  <c r="F57" i="15"/>
  <c r="F58" i="15"/>
  <c r="F59" i="15"/>
  <c r="F60" i="15"/>
  <c r="F61" i="15"/>
  <c r="F62" i="15"/>
  <c r="F63" i="15"/>
  <c r="F64" i="15"/>
  <c r="F66" i="15"/>
  <c r="F67" i="15"/>
  <c r="F68" i="15"/>
  <c r="F69" i="15"/>
  <c r="F70" i="15"/>
  <c r="F71" i="15"/>
  <c r="F72" i="15"/>
  <c r="D188" i="5" l="1"/>
  <c r="D187" i="5"/>
  <c r="D186" i="5"/>
  <c r="D185" i="5"/>
  <c r="D184" i="5"/>
  <c r="D183" i="5"/>
  <c r="D182" i="5"/>
  <c r="D181" i="5"/>
  <c r="D33" i="5"/>
  <c r="D52" i="5"/>
  <c r="E52" i="5" s="1"/>
  <c r="D51" i="5"/>
  <c r="E51" i="5" s="1"/>
  <c r="D50" i="5"/>
  <c r="E50" i="5" s="1"/>
  <c r="D49" i="5"/>
  <c r="E49" i="5" s="1"/>
  <c r="D48" i="5"/>
  <c r="E48" i="5" s="1"/>
  <c r="D47" i="5"/>
  <c r="E47" i="5" s="1"/>
  <c r="D46" i="5"/>
  <c r="E46" i="5" s="1"/>
  <c r="D45" i="5"/>
  <c r="E45" i="5" s="1"/>
  <c r="D44" i="5"/>
  <c r="E44" i="5" s="1"/>
  <c r="D43" i="5"/>
  <c r="E43" i="5" s="1"/>
  <c r="D42" i="5"/>
  <c r="E42" i="5" s="1"/>
  <c r="D41" i="5"/>
  <c r="E41" i="5" s="1"/>
  <c r="D40" i="5"/>
  <c r="E40" i="5" s="1"/>
  <c r="D39" i="5"/>
  <c r="E39" i="5" s="1"/>
  <c r="D38" i="5"/>
  <c r="E38" i="5" s="1"/>
  <c r="D37" i="5"/>
  <c r="E37" i="5" s="1"/>
  <c r="D36" i="5"/>
  <c r="E36" i="5" s="1"/>
  <c r="D35" i="5"/>
  <c r="E35" i="5" s="1"/>
  <c r="D12" i="5"/>
  <c r="D31" i="5"/>
  <c r="E31" i="5" s="1"/>
  <c r="D30" i="5"/>
  <c r="E30" i="5" s="1"/>
  <c r="D25" i="5"/>
  <c r="E25" i="5" s="1"/>
  <c r="D22" i="5"/>
  <c r="E22" i="5" s="1"/>
  <c r="D21" i="5"/>
  <c r="E21" i="5" s="1"/>
  <c r="D19" i="5"/>
  <c r="E19" i="5" s="1"/>
  <c r="D17" i="5"/>
  <c r="E17" i="5" s="1"/>
  <c r="D14" i="5"/>
  <c r="E14" i="5" s="1"/>
  <c r="D510" i="5"/>
  <c r="D509" i="5"/>
  <c r="D508" i="5"/>
  <c r="D507" i="5"/>
  <c r="D506" i="5"/>
  <c r="D505" i="5"/>
  <c r="D504" i="5"/>
  <c r="E33" i="5" l="1"/>
  <c r="E32" i="5"/>
  <c r="E11" i="5"/>
  <c r="E12" i="5"/>
  <c r="E180" i="5"/>
  <c r="E22" i="8"/>
  <c r="E278" i="5" l="1"/>
  <c r="D313" i="5" l="1"/>
  <c r="D307" i="5"/>
  <c r="E272" i="5"/>
  <c r="E274" i="5"/>
  <c r="E273" i="5"/>
  <c r="E271" i="5"/>
  <c r="E270" i="5"/>
  <c r="D269" i="5"/>
  <c r="E269" i="5" s="1"/>
  <c r="E266" i="5"/>
  <c r="E262" i="5"/>
  <c r="E261" i="5"/>
  <c r="E260" i="5"/>
  <c r="E259" i="5"/>
  <c r="E258" i="5"/>
  <c r="E256" i="5"/>
  <c r="E253" i="5"/>
  <c r="E252" i="5"/>
  <c r="E251" i="5"/>
  <c r="E250" i="5"/>
  <c r="E265" i="5" l="1"/>
  <c r="E264" i="5"/>
  <c r="E246" i="5"/>
  <c r="E245" i="5"/>
  <c r="E248" i="5"/>
  <c r="E247" i="5"/>
  <c r="E218" i="5"/>
  <c r="E207" i="5"/>
  <c r="E206" i="5"/>
  <c r="E88" i="5" l="1"/>
  <c r="D530" i="5"/>
  <c r="D521" i="5" l="1"/>
  <c r="D522" i="5"/>
  <c r="D523" i="5"/>
  <c r="D524" i="5"/>
  <c r="D525" i="5"/>
  <c r="D526" i="5"/>
  <c r="D492" i="5" l="1"/>
  <c r="E86" i="8"/>
  <c r="E85" i="8"/>
  <c r="E59" i="8"/>
  <c r="E58" i="8"/>
  <c r="E57" i="8"/>
  <c r="E55" i="8"/>
  <c r="E54" i="8"/>
  <c r="E53" i="8"/>
  <c r="E52" i="8"/>
  <c r="E47" i="8"/>
  <c r="B175" i="8"/>
  <c r="E176" i="5" l="1"/>
  <c r="E175" i="5"/>
  <c r="E177" i="5"/>
  <c r="E136" i="5"/>
  <c r="E135" i="5"/>
  <c r="E134" i="5"/>
  <c r="E133" i="5"/>
  <c r="E132" i="5"/>
  <c r="E61" i="5"/>
  <c r="D42" i="8" l="1"/>
  <c r="E42" i="8" s="1"/>
  <c r="E49" i="8" l="1"/>
  <c r="E39" i="8"/>
  <c r="D48" i="8"/>
  <c r="E48" i="8" s="1"/>
  <c r="E45" i="8"/>
  <c r="E44" i="8"/>
  <c r="E38" i="8"/>
  <c r="E37" i="8"/>
  <c r="E30" i="8"/>
  <c r="E24" i="8"/>
  <c r="E23" i="8"/>
  <c r="E19" i="8"/>
  <c r="E17" i="8"/>
  <c r="E15" i="8"/>
  <c r="E14" i="8"/>
  <c r="E11" i="8"/>
  <c r="E10" i="8"/>
  <c r="E9" i="8"/>
  <c r="E25" i="8"/>
  <c r="E225" i="5" l="1"/>
  <c r="E222" i="5"/>
  <c r="E221" i="5"/>
  <c r="D444" i="5"/>
  <c r="D443" i="5"/>
  <c r="D441" i="5"/>
  <c r="D403" i="5"/>
  <c r="D402" i="5"/>
  <c r="D401" i="5"/>
  <c r="D400" i="5"/>
  <c r="E544" i="5" l="1"/>
  <c r="E542" i="5"/>
  <c r="D538" i="5"/>
  <c r="D537" i="5"/>
  <c r="D536" i="5"/>
  <c r="D534" i="5"/>
  <c r="D533" i="5"/>
  <c r="D532" i="5"/>
  <c r="D531" i="5"/>
  <c r="D529" i="5"/>
  <c r="D528" i="5"/>
  <c r="D173" i="5"/>
  <c r="E173" i="5" s="1"/>
  <c r="D172" i="5"/>
  <c r="E172" i="5" s="1"/>
  <c r="E170" i="5"/>
  <c r="E169" i="5"/>
  <c r="E106" i="5"/>
  <c r="E167" i="5"/>
  <c r="E166" i="5"/>
  <c r="E164" i="5"/>
  <c r="E163" i="5"/>
  <c r="E162" i="5"/>
  <c r="E129" i="5"/>
  <c r="E128" i="5"/>
  <c r="E127" i="5"/>
  <c r="E160" i="5"/>
  <c r="E159" i="5"/>
  <c r="E158" i="5"/>
  <c r="E157" i="5"/>
  <c r="E156" i="5"/>
  <c r="E155" i="5"/>
  <c r="E153" i="5"/>
  <c r="E152" i="5"/>
  <c r="D150" i="5"/>
  <c r="E150" i="5" s="1"/>
  <c r="E148" i="5"/>
  <c r="E147" i="5"/>
  <c r="E144" i="5"/>
  <c r="E143" i="5"/>
  <c r="D142" i="5"/>
  <c r="E142" i="5" s="1"/>
  <c r="E139" i="5"/>
  <c r="E130" i="5"/>
  <c r="E126" i="5"/>
  <c r="E124" i="5"/>
  <c r="D122" i="5"/>
  <c r="E122" i="5" s="1"/>
  <c r="E105" i="5"/>
  <c r="E103" i="5"/>
  <c r="E101" i="5"/>
  <c r="E100" i="5" l="1"/>
  <c r="E99" i="5"/>
  <c r="E98" i="5"/>
  <c r="E97" i="5"/>
  <c r="E96" i="5"/>
  <c r="E94" i="5"/>
  <c r="D93" i="5"/>
  <c r="E93" i="5" s="1"/>
  <c r="E92" i="5"/>
  <c r="E91" i="5"/>
  <c r="E90" i="5"/>
  <c r="E86" i="5"/>
  <c r="E85" i="5"/>
  <c r="E84" i="5"/>
  <c r="E81" i="5"/>
  <c r="E79" i="5"/>
  <c r="D77" i="5"/>
  <c r="E77" i="5" s="1"/>
  <c r="D76" i="5"/>
  <c r="E76" i="5" s="1"/>
  <c r="D75" i="5"/>
  <c r="E75" i="5" s="1"/>
  <c r="D74" i="5"/>
  <c r="E74" i="5" s="1"/>
  <c r="D73" i="5"/>
  <c r="E73" i="5" s="1"/>
  <c r="D72" i="5"/>
  <c r="E72" i="5" s="1"/>
  <c r="D71" i="5"/>
  <c r="E71" i="5" s="1"/>
  <c r="D70" i="5"/>
  <c r="E70" i="5" s="1"/>
  <c r="D69" i="5"/>
  <c r="E69" i="5" s="1"/>
  <c r="E64" i="5"/>
  <c r="E63" i="5"/>
  <c r="E62" i="5"/>
  <c r="E65" i="5" l="1"/>
  <c r="E60" i="5"/>
  <c r="E59" i="5"/>
  <c r="E54" i="5"/>
  <c r="E53" i="5"/>
  <c r="E102" i="5"/>
  <c r="E104" i="5"/>
  <c r="E80" i="5" l="1"/>
  <c r="E82" i="5"/>
  <c r="B113" i="8" l="1"/>
  <c r="B85" i="8" l="1"/>
  <c r="D11" i="14" l="1"/>
  <c r="D32" i="14" l="1"/>
  <c r="B13" i="14"/>
  <c r="D13" i="14"/>
  <c r="D9" i="14"/>
  <c r="D6" i="14"/>
  <c r="T57" i="15" l="1"/>
  <c r="P57" i="15"/>
  <c r="L57" i="15"/>
  <c r="H57" i="15"/>
  <c r="D57" i="15"/>
  <c r="T56" i="15"/>
  <c r="P56" i="15"/>
  <c r="L56" i="15"/>
  <c r="H56" i="15"/>
  <c r="D56" i="15"/>
  <c r="T69" i="15" l="1"/>
  <c r="P69" i="15"/>
  <c r="L69" i="15"/>
  <c r="H69" i="15"/>
  <c r="D69" i="15"/>
  <c r="T68" i="15" l="1"/>
  <c r="P68" i="15"/>
  <c r="Q68" i="15" s="1"/>
  <c r="L68" i="15"/>
  <c r="M68" i="15" s="1"/>
  <c r="H68" i="15"/>
  <c r="I68" i="15" s="1"/>
  <c r="D68" i="15"/>
  <c r="T66" i="15"/>
  <c r="P66" i="15"/>
  <c r="Q66" i="15" s="1"/>
  <c r="L66" i="15"/>
  <c r="M66" i="15" s="1"/>
  <c r="H66" i="15"/>
  <c r="I66" i="15" s="1"/>
  <c r="D66" i="15"/>
  <c r="D36" i="14" l="1"/>
  <c r="D35" i="14"/>
  <c r="D34" i="14"/>
  <c r="D33" i="14"/>
  <c r="D37" i="14"/>
  <c r="D30" i="14"/>
  <c r="D28" i="14"/>
  <c r="D27" i="14"/>
  <c r="D25" i="14"/>
  <c r="D24" i="14"/>
  <c r="D23" i="14"/>
  <c r="D22" i="14"/>
  <c r="D21" i="14"/>
  <c r="D20" i="14"/>
  <c r="D17" i="14"/>
  <c r="D12" i="14"/>
  <c r="D553" i="5"/>
  <c r="D552" i="5"/>
  <c r="D547" i="5"/>
  <c r="D546" i="5"/>
  <c r="D539" i="5"/>
  <c r="D535" i="5"/>
  <c r="D482" i="5"/>
  <c r="D481" i="5"/>
  <c r="D480" i="5"/>
  <c r="D479" i="5"/>
  <c r="D478" i="5"/>
  <c r="D477" i="5"/>
  <c r="D476" i="5"/>
  <c r="D475" i="5"/>
  <c r="D458" i="5"/>
  <c r="D457" i="5"/>
  <c r="D456" i="5"/>
  <c r="D455" i="5"/>
  <c r="D451" i="5"/>
  <c r="D450" i="5"/>
  <c r="D449" i="5"/>
  <c r="D427" i="5"/>
  <c r="D426" i="5"/>
  <c r="D425" i="5"/>
  <c r="D424" i="5"/>
  <c r="D423" i="5"/>
  <c r="D422" i="5"/>
  <c r="D421" i="5"/>
  <c r="D420" i="5"/>
  <c r="D395" i="5"/>
  <c r="D394" i="5"/>
  <c r="D354" i="5"/>
  <c r="D328" i="5"/>
  <c r="D317" i="5"/>
  <c r="D310" i="5"/>
  <c r="D309" i="5"/>
  <c r="D306" i="5"/>
  <c r="D305" i="5"/>
  <c r="D301" i="5"/>
  <c r="D300" i="5"/>
  <c r="D298" i="5"/>
  <c r="D283" i="5"/>
  <c r="E277" i="5"/>
  <c r="D276" i="5"/>
  <c r="E276" i="5" s="1"/>
  <c r="D275" i="5"/>
  <c r="E275" i="5" s="1"/>
  <c r="D255" i="5"/>
  <c r="E255" i="5" s="1"/>
  <c r="D254" i="5"/>
  <c r="E254" i="5" s="1"/>
  <c r="D243" i="5"/>
  <c r="D242" i="5"/>
  <c r="D241" i="5"/>
  <c r="D240" i="5"/>
  <c r="D239" i="5"/>
  <c r="D238" i="5"/>
  <c r="D237" i="5"/>
  <c r="D236" i="5"/>
  <c r="D235" i="5"/>
  <c r="D234" i="5"/>
  <c r="D233" i="5"/>
  <c r="D232" i="5"/>
  <c r="E230" i="5"/>
  <c r="E229" i="5"/>
  <c r="E228" i="5"/>
  <c r="E227" i="5"/>
  <c r="E226" i="5"/>
  <c r="D219" i="5"/>
  <c r="D217" i="5"/>
  <c r="E217" i="5" s="1"/>
  <c r="D216" i="5"/>
  <c r="E216" i="5" s="1"/>
  <c r="D215" i="5"/>
  <c r="E215" i="5" s="1"/>
  <c r="D214" i="5"/>
  <c r="E214" i="5" s="1"/>
  <c r="D213" i="5"/>
  <c r="E213" i="5" s="1"/>
  <c r="D212" i="5"/>
  <c r="E212" i="5" s="1"/>
  <c r="D211" i="5"/>
  <c r="E211" i="5" s="1"/>
  <c r="D210" i="5"/>
  <c r="E210" i="5" s="1"/>
  <c r="D209" i="5"/>
  <c r="E209" i="5" s="1"/>
  <c r="D208" i="5"/>
  <c r="E208" i="5" s="1"/>
  <c r="D205" i="5"/>
  <c r="D204" i="5"/>
  <c r="D125" i="5"/>
  <c r="E125" i="5" s="1"/>
  <c r="D68" i="5"/>
  <c r="E68" i="5" s="1"/>
  <c r="D67" i="5"/>
  <c r="E67" i="5" s="1"/>
  <c r="D66" i="5"/>
  <c r="E66" i="5" s="1"/>
  <c r="D29" i="5"/>
  <c r="E29" i="5" s="1"/>
  <c r="D28" i="5"/>
  <c r="E28" i="5" s="1"/>
  <c r="D27" i="5"/>
  <c r="E27" i="5" s="1"/>
  <c r="D26" i="5"/>
  <c r="E26" i="5" s="1"/>
  <c r="D24" i="5"/>
  <c r="E24" i="5" s="1"/>
  <c r="D23" i="5"/>
  <c r="E23" i="5" s="1"/>
  <c r="D20" i="5"/>
  <c r="E20" i="5" s="1"/>
  <c r="D18" i="5"/>
  <c r="E18" i="5" s="1"/>
  <c r="D16" i="5"/>
  <c r="E16" i="5" s="1"/>
  <c r="D15" i="5"/>
  <c r="E15" i="5" s="1"/>
  <c r="D167" i="8"/>
  <c r="D166" i="8"/>
  <c r="D165" i="8"/>
  <c r="D164" i="8"/>
  <c r="D163" i="8"/>
  <c r="D162" i="8"/>
  <c r="D161" i="8"/>
  <c r="D160" i="8"/>
  <c r="D159" i="8"/>
  <c r="D158" i="8"/>
  <c r="D157" i="8"/>
  <c r="D156" i="8"/>
  <c r="D155" i="8"/>
  <c r="D154" i="8"/>
  <c r="D153" i="8"/>
  <c r="D152" i="8"/>
  <c r="D151" i="8"/>
  <c r="D150" i="8"/>
  <c r="D149" i="8"/>
  <c r="D148" i="8"/>
  <c r="D147" i="8"/>
  <c r="D146" i="8"/>
  <c r="D145" i="8"/>
  <c r="D144" i="8"/>
  <c r="D143" i="8"/>
  <c r="D142" i="8"/>
  <c r="D141" i="8"/>
  <c r="D140" i="8"/>
  <c r="D139" i="8"/>
  <c r="D138" i="8"/>
  <c r="D137" i="8"/>
  <c r="D136" i="8"/>
  <c r="D135" i="8"/>
  <c r="D134" i="8"/>
  <c r="D133" i="8"/>
  <c r="D132" i="8"/>
  <c r="D131" i="8"/>
  <c r="D130" i="8"/>
  <c r="D129" i="8"/>
  <c r="D128" i="8"/>
  <c r="D127" i="8"/>
  <c r="D104" i="8"/>
  <c r="D99" i="8"/>
  <c r="D98" i="8"/>
  <c r="D97" i="8"/>
  <c r="D96" i="8"/>
  <c r="D95" i="8"/>
  <c r="D94" i="8"/>
  <c r="D93" i="8"/>
  <c r="D92" i="8"/>
  <c r="D84" i="8"/>
  <c r="E84" i="8" s="1"/>
  <c r="D83" i="8"/>
  <c r="E83" i="8" s="1"/>
  <c r="D82" i="8"/>
  <c r="E82" i="8" s="1"/>
  <c r="D81" i="8"/>
  <c r="E81" i="8" s="1"/>
  <c r="D80" i="8"/>
  <c r="E80" i="8" s="1"/>
  <c r="D79" i="8"/>
  <c r="E79" i="8" s="1"/>
  <c r="D78" i="8"/>
  <c r="E78" i="8" s="1"/>
  <c r="D77" i="8"/>
  <c r="E77" i="8" s="1"/>
  <c r="D76" i="8"/>
  <c r="E76" i="8" s="1"/>
  <c r="D75" i="8"/>
  <c r="E75" i="8" s="1"/>
  <c r="D74" i="8"/>
  <c r="E74" i="8" s="1"/>
  <c r="D73" i="8"/>
  <c r="E73" i="8" s="1"/>
  <c r="D72" i="8"/>
  <c r="E72" i="8" s="1"/>
  <c r="D71" i="8"/>
  <c r="E71" i="8" s="1"/>
  <c r="D70" i="8"/>
  <c r="E70" i="8" s="1"/>
  <c r="D69" i="8"/>
  <c r="E69" i="8" s="1"/>
  <c r="D68" i="8"/>
  <c r="E68" i="8" s="1"/>
  <c r="D67" i="8"/>
  <c r="E67" i="8" s="1"/>
  <c r="D66" i="8"/>
  <c r="E66" i="8" s="1"/>
  <c r="D65" i="8"/>
  <c r="E65" i="8" s="1"/>
  <c r="D64" i="8"/>
  <c r="E64" i="8" s="1"/>
  <c r="D63" i="8"/>
  <c r="E63" i="8" s="1"/>
  <c r="D62" i="8"/>
  <c r="E62" i="8" s="1"/>
  <c r="D61" i="8"/>
  <c r="E61" i="8" s="1"/>
  <c r="D60" i="8"/>
  <c r="E60" i="8" s="1"/>
  <c r="D36" i="8"/>
  <c r="E36" i="8" s="1"/>
  <c r="D35" i="8"/>
  <c r="E35" i="8" s="1"/>
  <c r="D34" i="8"/>
  <c r="E34" i="8" s="1"/>
  <c r="D33" i="8"/>
  <c r="E33" i="8" s="1"/>
  <c r="D32" i="8"/>
  <c r="E32" i="8" s="1"/>
  <c r="D31" i="8"/>
  <c r="E31" i="8" s="1"/>
  <c r="D20" i="8"/>
  <c r="E20" i="8" s="1"/>
  <c r="D12" i="8"/>
  <c r="E12" i="8" s="1"/>
  <c r="D13" i="8"/>
  <c r="E13" i="8" s="1"/>
  <c r="T42" i="15"/>
  <c r="T41" i="15"/>
  <c r="T40" i="15"/>
  <c r="T39" i="15"/>
  <c r="T38" i="15"/>
  <c r="T37" i="15"/>
  <c r="U37" i="15" s="1"/>
  <c r="T67" i="15"/>
  <c r="T70" i="15"/>
  <c r="T26" i="15"/>
  <c r="U26" i="15" s="1"/>
  <c r="T27" i="15"/>
  <c r="T64" i="15"/>
  <c r="T63" i="15"/>
  <c r="U63" i="15" s="1"/>
  <c r="T62" i="15"/>
  <c r="U62" i="15" s="1"/>
  <c r="T61" i="15"/>
  <c r="U61" i="15" s="1"/>
  <c r="T60" i="15"/>
  <c r="T59" i="15"/>
  <c r="T58" i="15"/>
  <c r="U58" i="15" s="1"/>
  <c r="T54" i="15"/>
  <c r="T53" i="15"/>
  <c r="T51" i="15"/>
  <c r="T50" i="15"/>
  <c r="T49" i="15"/>
  <c r="T47" i="15"/>
  <c r="T46" i="15"/>
  <c r="U46" i="15" s="1"/>
  <c r="T44" i="15"/>
  <c r="T43" i="15"/>
  <c r="T36" i="15"/>
  <c r="U36" i="15" s="1"/>
  <c r="T35" i="15"/>
  <c r="U35" i="15" s="1"/>
  <c r="T34" i="15"/>
  <c r="U34" i="15" s="1"/>
  <c r="T33" i="15"/>
  <c r="U33" i="15" s="1"/>
  <c r="T31" i="15"/>
  <c r="U31" i="15" s="1"/>
  <c r="T30" i="15"/>
  <c r="U30" i="15" s="1"/>
  <c r="T29" i="15"/>
  <c r="T28" i="15"/>
  <c r="T25" i="15"/>
  <c r="U25" i="15" s="1"/>
  <c r="T24" i="15"/>
  <c r="U24" i="15" s="1"/>
  <c r="T23" i="15"/>
  <c r="U23" i="15" s="1"/>
  <c r="T22" i="15"/>
  <c r="U22" i="15" s="1"/>
  <c r="T21" i="15"/>
  <c r="U21" i="15" s="1"/>
  <c r="T19" i="15"/>
  <c r="U19" i="15" s="1"/>
  <c r="T18" i="15"/>
  <c r="P42" i="15"/>
  <c r="Q42" i="15" s="1"/>
  <c r="P41" i="15"/>
  <c r="Q41" i="15" s="1"/>
  <c r="P40" i="15"/>
  <c r="Q40" i="15" s="1"/>
  <c r="P39" i="15"/>
  <c r="P38" i="15"/>
  <c r="P37" i="15"/>
  <c r="P67" i="15"/>
  <c r="P70" i="15"/>
  <c r="P26" i="15"/>
  <c r="Q26" i="15" s="1"/>
  <c r="P27" i="15"/>
  <c r="P64" i="15"/>
  <c r="P63" i="15"/>
  <c r="P62" i="15"/>
  <c r="Q62" i="15" s="1"/>
  <c r="P61" i="15"/>
  <c r="Q61" i="15" s="1"/>
  <c r="P60" i="15"/>
  <c r="P59" i="15"/>
  <c r="P58" i="15"/>
  <c r="P54" i="15"/>
  <c r="P53" i="15"/>
  <c r="P51" i="15"/>
  <c r="P50" i="15"/>
  <c r="P49" i="15"/>
  <c r="P47" i="15"/>
  <c r="P46" i="15"/>
  <c r="Q46" i="15" s="1"/>
  <c r="P44" i="15"/>
  <c r="P43" i="15"/>
  <c r="P36" i="15"/>
  <c r="Q36" i="15" s="1"/>
  <c r="P35" i="15"/>
  <c r="Q35" i="15" s="1"/>
  <c r="P34" i="15"/>
  <c r="Q34" i="15" s="1"/>
  <c r="P33" i="15"/>
  <c r="Q33" i="15" s="1"/>
  <c r="P31" i="15"/>
  <c r="Q31" i="15" s="1"/>
  <c r="P30" i="15"/>
  <c r="P29" i="15"/>
  <c r="P28" i="15"/>
  <c r="P25" i="15"/>
  <c r="Q25" i="15" s="1"/>
  <c r="P24" i="15"/>
  <c r="P23" i="15"/>
  <c r="P22" i="15"/>
  <c r="P21" i="15"/>
  <c r="P18" i="15"/>
  <c r="P19" i="15"/>
  <c r="H42" i="15"/>
  <c r="H41" i="15"/>
  <c r="H40" i="15"/>
  <c r="H39" i="15"/>
  <c r="H38" i="15"/>
  <c r="H37" i="15"/>
  <c r="H67" i="15"/>
  <c r="H70" i="15"/>
  <c r="H26" i="15"/>
  <c r="I26" i="15" s="1"/>
  <c r="H27" i="15"/>
  <c r="H64" i="15"/>
  <c r="H63" i="15"/>
  <c r="I63" i="15" s="1"/>
  <c r="H62" i="15"/>
  <c r="I62" i="15" s="1"/>
  <c r="H61" i="15"/>
  <c r="H60" i="15"/>
  <c r="L42" i="15"/>
  <c r="L41" i="15"/>
  <c r="L40" i="15"/>
  <c r="L39" i="15"/>
  <c r="L38" i="15"/>
  <c r="L37" i="15"/>
  <c r="L67" i="15"/>
  <c r="L70" i="15"/>
  <c r="L26" i="15"/>
  <c r="L27" i="15"/>
  <c r="L64" i="15"/>
  <c r="L63" i="15"/>
  <c r="L62" i="15"/>
  <c r="M62" i="15" s="1"/>
  <c r="L61" i="15"/>
  <c r="L60" i="15"/>
  <c r="L59" i="15"/>
  <c r="L58" i="15"/>
  <c r="L54" i="15"/>
  <c r="L53" i="15"/>
  <c r="L51" i="15"/>
  <c r="L50" i="15"/>
  <c r="L49" i="15"/>
  <c r="L47" i="15"/>
  <c r="L46" i="15"/>
  <c r="L44" i="15"/>
  <c r="L43" i="15"/>
  <c r="L36" i="15"/>
  <c r="M36" i="15" s="1"/>
  <c r="L35" i="15"/>
  <c r="M35" i="15" s="1"/>
  <c r="L34" i="15"/>
  <c r="L33" i="15"/>
  <c r="M33" i="15" s="1"/>
  <c r="L31" i="15"/>
  <c r="M31" i="15" s="1"/>
  <c r="L30" i="15"/>
  <c r="M30" i="15" s="1"/>
  <c r="L29" i="15"/>
  <c r="L28" i="15"/>
  <c r="L25" i="15"/>
  <c r="M25" i="15" s="1"/>
  <c r="L24" i="15"/>
  <c r="L23" i="15"/>
  <c r="L22" i="15"/>
  <c r="L21" i="15"/>
  <c r="L18" i="15"/>
  <c r="L19" i="15"/>
  <c r="H58" i="15"/>
  <c r="H59" i="15"/>
  <c r="H54" i="15"/>
  <c r="H53" i="15"/>
  <c r="H51" i="15"/>
  <c r="I51" i="15" s="1"/>
  <c r="H50" i="15"/>
  <c r="H49" i="15"/>
  <c r="H47" i="15"/>
  <c r="H46" i="15"/>
  <c r="H44" i="15"/>
  <c r="H43" i="15"/>
  <c r="H36" i="15"/>
  <c r="H35" i="15"/>
  <c r="H34" i="15"/>
  <c r="H33" i="15"/>
  <c r="I33" i="15" s="1"/>
  <c r="H31" i="15"/>
  <c r="I31" i="15" s="1"/>
  <c r="H30" i="15"/>
  <c r="H29" i="15"/>
  <c r="H28" i="15"/>
  <c r="H25" i="15"/>
  <c r="I25" i="15" s="1"/>
  <c r="H24" i="15"/>
  <c r="H23" i="15"/>
  <c r="H22" i="15"/>
  <c r="H21" i="15"/>
  <c r="H19" i="15"/>
  <c r="H18" i="15"/>
  <c r="D42" i="15"/>
  <c r="E42" i="15" s="1"/>
  <c r="D41" i="15"/>
  <c r="E41" i="15" s="1"/>
  <c r="D40" i="15"/>
  <c r="D39" i="15"/>
  <c r="D38" i="15"/>
  <c r="D37" i="15"/>
  <c r="D67" i="15"/>
  <c r="D70" i="15"/>
  <c r="D26" i="15"/>
  <c r="D27" i="15"/>
  <c r="D64" i="15"/>
  <c r="D63" i="15"/>
  <c r="D62" i="15"/>
  <c r="D61" i="15"/>
  <c r="D60" i="15"/>
  <c r="D59" i="15"/>
  <c r="D58" i="15"/>
  <c r="D54" i="15"/>
  <c r="D53" i="15"/>
  <c r="D51" i="15"/>
  <c r="D50" i="15"/>
  <c r="D49" i="15"/>
  <c r="D47" i="15"/>
  <c r="D46" i="15"/>
  <c r="E46" i="15" s="1"/>
  <c r="D44" i="15"/>
  <c r="D43" i="15"/>
  <c r="D36" i="15"/>
  <c r="D35" i="15"/>
  <c r="D34" i="15"/>
  <c r="D33" i="15"/>
  <c r="D31" i="15"/>
  <c r="D30" i="15"/>
  <c r="D29" i="15"/>
  <c r="D28" i="15"/>
  <c r="D25" i="15"/>
  <c r="E25" i="15" s="1"/>
  <c r="D24" i="15"/>
  <c r="D23" i="15"/>
  <c r="D22" i="15"/>
  <c r="D21" i="15"/>
  <c r="D18" i="15"/>
  <c r="D19" i="15"/>
  <c r="D202" i="5" l="1"/>
  <c r="E231" i="5"/>
  <c r="D139" i="5"/>
  <c r="D146" i="5"/>
  <c r="E146" i="5" s="1"/>
  <c r="D296" i="5"/>
  <c r="D370" i="5"/>
  <c r="D371" i="5"/>
  <c r="D372" i="5"/>
  <c r="D373" i="5"/>
  <c r="D374" i="5"/>
  <c r="D375" i="5"/>
  <c r="D376" i="5"/>
  <c r="D377" i="5"/>
  <c r="D378" i="5"/>
  <c r="D379" i="5"/>
  <c r="D380" i="5"/>
  <c r="D381" i="5"/>
  <c r="D384" i="5"/>
  <c r="D385" i="5"/>
  <c r="D29" i="8"/>
  <c r="D28" i="8"/>
  <c r="D27" i="8"/>
  <c r="A51" i="8" l="1"/>
  <c r="AE96" i="8" l="1"/>
  <c r="Z96" i="8"/>
  <c r="W96" i="8"/>
  <c r="AA93" i="8"/>
  <c r="AE93" i="8"/>
  <c r="AA72" i="8"/>
  <c r="AE72" i="8"/>
  <c r="I167" i="8"/>
  <c r="H167" i="8"/>
  <c r="F167" i="8"/>
  <c r="I166" i="8"/>
  <c r="H166" i="8"/>
  <c r="F166" i="8"/>
  <c r="F154" i="8"/>
  <c r="V154" i="8"/>
  <c r="AE98" i="8"/>
  <c r="Z98" i="8"/>
  <c r="W98" i="8"/>
  <c r="V98" i="8"/>
  <c r="AE71" i="8"/>
  <c r="AA71" i="8"/>
  <c r="V72" i="8"/>
  <c r="V71" i="8"/>
  <c r="V69" i="8"/>
  <c r="V96" i="8"/>
  <c r="Z93" i="8"/>
  <c r="W93" i="8"/>
  <c r="V93" i="8"/>
  <c r="AA129" i="5"/>
  <c r="Z129" i="5"/>
  <c r="X129" i="5"/>
  <c r="V129" i="5"/>
  <c r="S129" i="5"/>
  <c r="P129" i="5"/>
  <c r="O129" i="5"/>
  <c r="J129" i="5"/>
  <c r="H129" i="5"/>
  <c r="G129" i="5"/>
  <c r="F129" i="5"/>
  <c r="B36" i="14"/>
  <c r="B35" i="14"/>
  <c r="B34" i="14"/>
  <c r="B33" i="14"/>
  <c r="A33" i="14"/>
  <c r="B37" i="14"/>
  <c r="B32" i="14"/>
  <c r="A31" i="14"/>
  <c r="B30" i="14"/>
  <c r="A30" i="14"/>
  <c r="A29" i="14"/>
  <c r="B28" i="14"/>
  <c r="B27" i="14"/>
  <c r="B25" i="14"/>
  <c r="A25" i="14"/>
  <c r="B24" i="14"/>
  <c r="B23" i="14"/>
  <c r="B22" i="14"/>
  <c r="B21" i="14"/>
  <c r="B20" i="14"/>
  <c r="A20" i="14"/>
  <c r="F50" i="12"/>
  <c r="E50" i="12"/>
  <c r="D50" i="12"/>
  <c r="B50" i="12"/>
  <c r="A50" i="12"/>
  <c r="F49" i="12"/>
  <c r="E49" i="12"/>
  <c r="D49" i="12"/>
  <c r="B49" i="12"/>
  <c r="A49" i="12"/>
  <c r="F48" i="12"/>
  <c r="E48" i="12"/>
  <c r="D48" i="12"/>
  <c r="B48" i="12"/>
  <c r="A48" i="12"/>
  <c r="F47" i="12"/>
  <c r="E47" i="12"/>
  <c r="D47" i="12"/>
  <c r="B47" i="12"/>
  <c r="A47" i="12"/>
  <c r="F46" i="12"/>
  <c r="E46" i="12"/>
  <c r="D46" i="12"/>
  <c r="B46" i="12"/>
  <c r="A46" i="12"/>
  <c r="F45" i="12"/>
  <c r="E45" i="12"/>
  <c r="D45" i="12"/>
  <c r="B45" i="12"/>
  <c r="A45" i="12"/>
  <c r="F44" i="12"/>
  <c r="E44" i="12"/>
  <c r="D44" i="12"/>
  <c r="B44" i="12"/>
  <c r="A44" i="12"/>
  <c r="A43" i="12"/>
  <c r="F42" i="12"/>
  <c r="E42" i="12"/>
  <c r="D42" i="12"/>
  <c r="B42" i="12"/>
  <c r="A42" i="12"/>
  <c r="F41" i="12"/>
  <c r="E41" i="12"/>
  <c r="D41" i="12"/>
  <c r="B41" i="12"/>
  <c r="A41" i="12"/>
  <c r="F40" i="12"/>
  <c r="E40" i="12"/>
  <c r="D40" i="12"/>
  <c r="B40" i="12"/>
  <c r="A40" i="12"/>
  <c r="F39" i="12"/>
  <c r="E39" i="12"/>
  <c r="D39" i="12"/>
  <c r="B39" i="12"/>
  <c r="A39" i="12"/>
  <c r="A38" i="12"/>
  <c r="F37" i="12"/>
  <c r="E37" i="12"/>
  <c r="D37" i="12"/>
  <c r="B37" i="12"/>
  <c r="A37" i="12"/>
  <c r="F36" i="12"/>
  <c r="E36" i="12"/>
  <c r="D36" i="12"/>
  <c r="B36" i="12"/>
  <c r="A36" i="12"/>
  <c r="A35" i="12"/>
  <c r="F34" i="12"/>
  <c r="E34" i="12"/>
  <c r="D34" i="12"/>
  <c r="B34" i="12"/>
  <c r="A34" i="12"/>
  <c r="F33" i="12"/>
  <c r="E33" i="12"/>
  <c r="D33" i="12"/>
  <c r="B33" i="12"/>
  <c r="A33" i="12"/>
  <c r="F32" i="12"/>
  <c r="E32" i="12"/>
  <c r="D32" i="12"/>
  <c r="B32" i="12"/>
  <c r="A32" i="12"/>
  <c r="F31" i="12"/>
  <c r="E31" i="12"/>
  <c r="D31" i="12"/>
  <c r="B31" i="12"/>
  <c r="A31" i="12"/>
  <c r="F30" i="12"/>
  <c r="E30" i="12"/>
  <c r="D30" i="12"/>
  <c r="B30" i="12"/>
  <c r="A30" i="12"/>
  <c r="F29" i="12"/>
  <c r="E29" i="12"/>
  <c r="D29" i="12"/>
  <c r="B29" i="12"/>
  <c r="A29" i="12"/>
  <c r="F28" i="12"/>
  <c r="E28" i="12"/>
  <c r="D28" i="12"/>
  <c r="B28" i="12"/>
  <c r="A28" i="12"/>
  <c r="A27" i="12"/>
  <c r="F26" i="12"/>
  <c r="E26" i="12"/>
  <c r="D26" i="12"/>
  <c r="B26" i="12"/>
  <c r="A26" i="12"/>
  <c r="F25" i="12"/>
  <c r="E25" i="12"/>
  <c r="D25" i="12"/>
  <c r="B25" i="12"/>
  <c r="A25" i="12"/>
  <c r="F24" i="12"/>
  <c r="E24" i="12"/>
  <c r="D24" i="12"/>
  <c r="B24" i="12"/>
  <c r="A24" i="12"/>
  <c r="F23" i="12"/>
  <c r="E23" i="12"/>
  <c r="D23" i="12"/>
  <c r="B23" i="12"/>
  <c r="A23" i="12"/>
  <c r="F22" i="12"/>
  <c r="E22" i="12"/>
  <c r="D22" i="12"/>
  <c r="B22" i="12"/>
  <c r="A22" i="12"/>
  <c r="A21" i="12"/>
  <c r="F20" i="12"/>
  <c r="E20" i="12"/>
  <c r="D20" i="12"/>
  <c r="B20" i="12"/>
  <c r="A20" i="12"/>
  <c r="F19" i="12"/>
  <c r="E19" i="12"/>
  <c r="D19" i="12"/>
  <c r="B19" i="12"/>
  <c r="A19" i="12"/>
  <c r="F18" i="12"/>
  <c r="E18" i="12"/>
  <c r="D18" i="12"/>
  <c r="B18" i="12"/>
  <c r="A18" i="12"/>
  <c r="F17" i="12"/>
  <c r="F16" i="12" s="1"/>
  <c r="E17" i="12"/>
  <c r="D17" i="12"/>
  <c r="B17" i="12"/>
  <c r="A17" i="12"/>
  <c r="A16" i="12"/>
  <c r="F15" i="12"/>
  <c r="E15" i="12"/>
  <c r="D15" i="12"/>
  <c r="B15" i="12"/>
  <c r="A15" i="12"/>
  <c r="F14" i="12"/>
  <c r="E14" i="12"/>
  <c r="D14" i="12"/>
  <c r="B14" i="12"/>
  <c r="A14" i="12"/>
  <c r="F13" i="12"/>
  <c r="F12" i="12" s="1"/>
  <c r="E13" i="12"/>
  <c r="D13" i="12"/>
  <c r="B13" i="12"/>
  <c r="A13" i="12"/>
  <c r="A12" i="12"/>
  <c r="A11" i="12"/>
  <c r="F10" i="12"/>
  <c r="E10" i="12"/>
  <c r="D10" i="12"/>
  <c r="B10" i="12"/>
  <c r="A10" i="12"/>
  <c r="F9" i="12"/>
  <c r="E9" i="12"/>
  <c r="D9" i="12"/>
  <c r="B9" i="12"/>
  <c r="A9" i="12"/>
  <c r="F8" i="12"/>
  <c r="F7" i="12" s="1"/>
  <c r="E8" i="12"/>
  <c r="D8" i="12"/>
  <c r="B8" i="12"/>
  <c r="A8" i="12"/>
  <c r="A7" i="12"/>
  <c r="F6" i="12"/>
  <c r="E6" i="12"/>
  <c r="D6" i="12"/>
  <c r="B6" i="12"/>
  <c r="A6" i="12"/>
  <c r="F5" i="12"/>
  <c r="E5" i="12"/>
  <c r="D5" i="12"/>
  <c r="B5" i="12"/>
  <c r="A5" i="12"/>
  <c r="A4" i="12"/>
  <c r="A3" i="12"/>
  <c r="C6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C49" i="9"/>
  <c r="C50" i="9"/>
  <c r="C51" i="9"/>
  <c r="C52" i="9"/>
  <c r="C53" i="9"/>
  <c r="C54" i="9"/>
  <c r="C55" i="9"/>
  <c r="C56" i="9"/>
  <c r="C57" i="9"/>
  <c r="C58" i="9"/>
  <c r="C59" i="9"/>
  <c r="C60" i="9"/>
  <c r="C61" i="9"/>
  <c r="C62" i="9"/>
  <c r="C63" i="9"/>
  <c r="C64" i="9"/>
  <c r="C65" i="9"/>
  <c r="C66" i="9"/>
  <c r="C67" i="9"/>
  <c r="C68" i="9"/>
  <c r="C69" i="9"/>
  <c r="C70" i="9"/>
  <c r="C71" i="9"/>
  <c r="C72" i="9"/>
  <c r="C73" i="9"/>
  <c r="C74" i="9"/>
  <c r="C75" i="9"/>
  <c r="C76" i="9"/>
  <c r="C77" i="9"/>
  <c r="C78" i="9"/>
  <c r="C79" i="9"/>
  <c r="C80" i="9"/>
  <c r="C81" i="9"/>
  <c r="C82" i="9"/>
  <c r="C83" i="9"/>
  <c r="C84" i="9"/>
  <c r="C85" i="9"/>
  <c r="C86" i="9"/>
  <c r="C87" i="9"/>
  <c r="C88" i="9"/>
  <c r="C89" i="9"/>
  <c r="C90" i="9"/>
  <c r="C91" i="9"/>
  <c r="C92" i="9"/>
  <c r="C93" i="9"/>
  <c r="C94" i="9"/>
  <c r="C95" i="9"/>
  <c r="C96" i="9"/>
  <c r="C97" i="9"/>
  <c r="C98" i="9"/>
  <c r="C99" i="9"/>
  <c r="C100" i="9"/>
  <c r="C101" i="9"/>
  <c r="C102" i="9"/>
  <c r="C103" i="9"/>
  <c r="C104" i="9"/>
  <c r="C105" i="9"/>
  <c r="C106" i="9"/>
  <c r="C107" i="9"/>
  <c r="C108" i="9"/>
  <c r="C109" i="9"/>
  <c r="C110" i="9"/>
  <c r="C111" i="9"/>
  <c r="C112" i="9"/>
  <c r="C113" i="9"/>
  <c r="B182" i="8"/>
  <c r="A181" i="8"/>
  <c r="B180" i="8"/>
  <c r="B179" i="8"/>
  <c r="B177" i="8"/>
  <c r="B176" i="8"/>
  <c r="B174" i="8"/>
  <c r="A173" i="8"/>
  <c r="B172" i="8"/>
  <c r="B170" i="8"/>
  <c r="B169" i="8"/>
  <c r="A168" i="8"/>
  <c r="B167" i="8"/>
  <c r="A167" i="8"/>
  <c r="B166" i="8"/>
  <c r="A166" i="8"/>
  <c r="B165" i="8"/>
  <c r="A165" i="8"/>
  <c r="B164" i="8"/>
  <c r="A164" i="8"/>
  <c r="B163" i="8"/>
  <c r="A163" i="8"/>
  <c r="B162" i="8"/>
  <c r="A162" i="8"/>
  <c r="B161" i="8"/>
  <c r="A161" i="8"/>
  <c r="B160" i="8"/>
  <c r="A160" i="8"/>
  <c r="B159" i="8"/>
  <c r="A159" i="8"/>
  <c r="B158" i="8"/>
  <c r="A158" i="8"/>
  <c r="A157" i="8"/>
  <c r="B156" i="8"/>
  <c r="A156" i="8"/>
  <c r="B155" i="8"/>
  <c r="A155" i="8"/>
  <c r="B154" i="8"/>
  <c r="A154" i="8"/>
  <c r="B153" i="8"/>
  <c r="A153" i="8"/>
  <c r="B152" i="8"/>
  <c r="A152" i="8"/>
  <c r="B151" i="8"/>
  <c r="A151" i="8"/>
  <c r="B150" i="8"/>
  <c r="A150" i="8"/>
  <c r="B149" i="8"/>
  <c r="A149" i="8"/>
  <c r="B148" i="8"/>
  <c r="A148" i="8"/>
  <c r="B147" i="8"/>
  <c r="A147" i="8"/>
  <c r="B146" i="8"/>
  <c r="A146" i="8"/>
  <c r="B145" i="8"/>
  <c r="A145" i="8"/>
  <c r="B144" i="8"/>
  <c r="A144" i="8"/>
  <c r="B143" i="8"/>
  <c r="A143" i="8"/>
  <c r="B142" i="8"/>
  <c r="A142" i="8"/>
  <c r="B141" i="8"/>
  <c r="A141" i="8"/>
  <c r="B140" i="8"/>
  <c r="A140" i="8"/>
  <c r="B139" i="8"/>
  <c r="A139" i="8"/>
  <c r="B138" i="8"/>
  <c r="A138" i="8"/>
  <c r="B137" i="8"/>
  <c r="A137" i="8"/>
  <c r="B136" i="8"/>
  <c r="A136" i="8"/>
  <c r="B135" i="8"/>
  <c r="A135" i="8"/>
  <c r="B134" i="8"/>
  <c r="A134" i="8"/>
  <c r="B133" i="8"/>
  <c r="A133" i="8"/>
  <c r="B132" i="8"/>
  <c r="A132" i="8"/>
  <c r="B131" i="8"/>
  <c r="A131" i="8"/>
  <c r="B130" i="8"/>
  <c r="A130" i="8"/>
  <c r="B129" i="8"/>
  <c r="A129" i="8"/>
  <c r="B128" i="8"/>
  <c r="A128" i="8"/>
  <c r="B127" i="8"/>
  <c r="A127" i="8"/>
  <c r="B125" i="8"/>
  <c r="A125" i="8"/>
  <c r="A124" i="8"/>
  <c r="B123" i="8"/>
  <c r="A123" i="8"/>
  <c r="B122" i="8"/>
  <c r="A122" i="8"/>
  <c r="B121" i="8"/>
  <c r="A120" i="8"/>
  <c r="A112" i="8"/>
  <c r="B107" i="8"/>
  <c r="B106" i="8"/>
  <c r="B105" i="8"/>
  <c r="B104" i="8"/>
  <c r="B103" i="8"/>
  <c r="A102" i="8"/>
  <c r="B101" i="8"/>
  <c r="B99" i="8"/>
  <c r="A99" i="8"/>
  <c r="B98" i="8"/>
  <c r="A98" i="8"/>
  <c r="B97" i="8"/>
  <c r="A97" i="8"/>
  <c r="B96" i="8"/>
  <c r="A96" i="8"/>
  <c r="B95" i="8"/>
  <c r="A95" i="8"/>
  <c r="B94" i="8"/>
  <c r="A94" i="8"/>
  <c r="B93" i="8"/>
  <c r="A93" i="8"/>
  <c r="B92" i="8"/>
  <c r="A92" i="8"/>
  <c r="B90" i="8"/>
  <c r="B89" i="8"/>
  <c r="A88" i="8"/>
  <c r="B84" i="8"/>
  <c r="A84" i="8"/>
  <c r="B83" i="8"/>
  <c r="A83" i="8"/>
  <c r="B82" i="8"/>
  <c r="A82" i="8"/>
  <c r="B81" i="8"/>
  <c r="A81" i="8"/>
  <c r="B80" i="8"/>
  <c r="A80" i="8"/>
  <c r="B79" i="8"/>
  <c r="A79" i="8"/>
  <c r="B78" i="8"/>
  <c r="A78" i="8"/>
  <c r="B77" i="8"/>
  <c r="A77" i="8"/>
  <c r="B76" i="8"/>
  <c r="A76" i="8"/>
  <c r="B75" i="8"/>
  <c r="A75" i="8"/>
  <c r="B74" i="8"/>
  <c r="A74" i="8"/>
  <c r="B73" i="8"/>
  <c r="A73" i="8"/>
  <c r="B72" i="8"/>
  <c r="A72" i="8"/>
  <c r="B71" i="8"/>
  <c r="A71" i="8"/>
  <c r="B70" i="8"/>
  <c r="A70" i="8"/>
  <c r="B69" i="8"/>
  <c r="A69" i="8"/>
  <c r="B68" i="8"/>
  <c r="A68" i="8"/>
  <c r="B67" i="8"/>
  <c r="A67" i="8"/>
  <c r="B66" i="8"/>
  <c r="A66" i="8"/>
  <c r="A65" i="8"/>
  <c r="B64" i="8"/>
  <c r="A64" i="8"/>
  <c r="B63" i="8"/>
  <c r="A63" i="8"/>
  <c r="A62" i="8"/>
  <c r="A61" i="8"/>
  <c r="B60" i="8"/>
  <c r="A60" i="8"/>
  <c r="B57" i="8"/>
  <c r="A56" i="8"/>
  <c r="B54" i="8"/>
  <c r="B53" i="8"/>
  <c r="B52" i="8"/>
  <c r="A6" i="8"/>
  <c r="Y3" i="8"/>
  <c r="X3" i="8"/>
  <c r="W3" i="8"/>
  <c r="V3" i="8"/>
  <c r="U3" i="8"/>
  <c r="T3" i="8"/>
  <c r="S3" i="8"/>
  <c r="R3" i="8"/>
  <c r="Q3" i="8"/>
  <c r="P3" i="8"/>
  <c r="O3" i="8"/>
  <c r="N3" i="8"/>
  <c r="M3" i="8"/>
  <c r="L3" i="8"/>
  <c r="K3" i="8"/>
  <c r="J3" i="8"/>
  <c r="I3" i="8"/>
  <c r="H3" i="8"/>
  <c r="G3" i="8"/>
  <c r="F3" i="8"/>
  <c r="C39" i="12" l="1"/>
  <c r="C30" i="12"/>
  <c r="C34" i="12"/>
  <c r="C46" i="12"/>
  <c r="C50" i="12"/>
  <c r="C23" i="12"/>
  <c r="C29" i="12"/>
  <c r="C37" i="12"/>
  <c r="C44" i="12"/>
  <c r="C45" i="12"/>
  <c r="C9" i="12"/>
  <c r="C5" i="12"/>
  <c r="E7" i="12"/>
  <c r="D12" i="12"/>
  <c r="D7" i="12"/>
  <c r="C6" i="12"/>
  <c r="C10" i="12"/>
  <c r="E12" i="12"/>
  <c r="C18" i="12"/>
  <c r="C20" i="12"/>
  <c r="C28" i="12"/>
  <c r="C47" i="12"/>
  <c r="C14" i="12"/>
  <c r="C15" i="12"/>
  <c r="D16" i="12"/>
  <c r="C22" i="12"/>
  <c r="C19" i="12"/>
  <c r="E16" i="12"/>
  <c r="C25" i="12"/>
  <c r="C32" i="12"/>
  <c r="C36" i="12"/>
  <c r="C40" i="12"/>
  <c r="C42" i="12"/>
  <c r="C48" i="12"/>
  <c r="C8" i="12"/>
  <c r="C7" i="12" s="1"/>
  <c r="C24" i="12"/>
  <c r="C26" i="12"/>
  <c r="C31" i="12"/>
  <c r="C33" i="12"/>
  <c r="C41" i="12"/>
  <c r="C49" i="12"/>
  <c r="C13" i="12"/>
  <c r="C12" i="12" s="1"/>
  <c r="C17" i="12"/>
  <c r="C16" i="12" s="1"/>
</calcChain>
</file>

<file path=xl/sharedStrings.xml><?xml version="1.0" encoding="utf-8"?>
<sst xmlns="http://schemas.openxmlformats.org/spreadsheetml/2006/main" count="1917" uniqueCount="775">
  <si>
    <t>Наименование социальной услуги</t>
  </si>
  <si>
    <t>Единица измерения</t>
  </si>
  <si>
    <t>Максимум</t>
  </si>
  <si>
    <t>КЦСОН Тюменского района</t>
  </si>
  <si>
    <t>МАУ ЦСОН г. Тобольск</t>
  </si>
  <si>
    <t>МАУ ЦСОН          г. Ишим "Забота"</t>
  </si>
  <si>
    <t>МАУ  КЦСОН Армизон р-н</t>
  </si>
  <si>
    <t>МАУ ЦСОН Омутинского р-на</t>
  </si>
  <si>
    <t>АУ КЦСОН Бердюж. р-на</t>
  </si>
  <si>
    <t>АУ КЦСОН "Забота" Исетского р-на</t>
  </si>
  <si>
    <t>АУСОН ТО ЦПСБУ</t>
  </si>
  <si>
    <t>МАУ КЦСОН Викуловского р-на</t>
  </si>
  <si>
    <t>МАУ КЦСОН Вагайского р-на</t>
  </si>
  <si>
    <t>МАУ КЦСОН Казанского р-на</t>
  </si>
  <si>
    <t>МАУ КЦСОН "Тавда"</t>
  </si>
  <si>
    <t>МАУ КЦСОН "Милосердие" Абатского р-на</t>
  </si>
  <si>
    <t>АУ Аромашевский КЦСОН</t>
  </si>
  <si>
    <t>МАУ КЦСОН Голышмановского р-на</t>
  </si>
  <si>
    <t>МАУ КЦСОН Сорокинского р-на</t>
  </si>
  <si>
    <t>АУ КЦСОН Юргинского р-на</t>
  </si>
  <si>
    <t>МАУ КЦСОН Ялуторовского р-на</t>
  </si>
  <si>
    <t>МАУ КЦСОН Ишимского р-на</t>
  </si>
  <si>
    <t>МАУ КЦСОН "Виктория" Слодковского р-на</t>
  </si>
  <si>
    <t>МАУ КЦСОН Уватского р-на</t>
  </si>
  <si>
    <t>МАУ КЦСОН Упоровского р-на</t>
  </si>
  <si>
    <t>МАУ КЦСОН Ярковского р-на</t>
  </si>
  <si>
    <t>АУ КЦСОН г. Заводоуковск</t>
  </si>
  <si>
    <t>МАУ КЦСОН Тобольского р-на</t>
  </si>
  <si>
    <t xml:space="preserve">1. Социальное обслуживание на дому граждан пожилого возраста и инвалидов, в том числе детей-инвалидов. </t>
  </si>
  <si>
    <t>1.1. Социальные услуги для граждан пожилого возраста и инвалидов, в том числе детей-инвалидов, нуждающихся в частичной посторонней помощи, оказании содействия при выполнении повседневной бытовой деятельности, в том числе индивидуально-обслуживающего характера, в связи с преклонным возрастом, болезнью, инвалидностью.</t>
  </si>
  <si>
    <t>Социально-бытовые услуги:</t>
  </si>
  <si>
    <t>Покупка и доставка на дом продуктов питания</t>
  </si>
  <si>
    <t>1 услуга</t>
  </si>
  <si>
    <t>Покупка и доставка на дом горячих обедов</t>
  </si>
  <si>
    <t>Помощь в приготовлении пищи (мытье, чистка и нарезка овощей, фруктов, рыбы, мяса и других продуктов питания)</t>
  </si>
  <si>
    <t>Покупка и доставка на дом промышленных товаров первой необходимости</t>
  </si>
  <si>
    <t>Доставка воды для граждан, проживающих в жилых помещениях без централизованного водоснабжения (не более 20 л)</t>
  </si>
  <si>
    <t>Поднос дров из поленницы в жилое помещение</t>
  </si>
  <si>
    <t>Содействие в топке печей для граждан, проживающих в жилых помещениях с печным отоплением</t>
  </si>
  <si>
    <t>Сдача вещей в стирку, химчистку, ремонт и обратная их доставка</t>
  </si>
  <si>
    <t>Содействие в организации срочного ремонта жилых помещений (вызов на дом сантехника, плотника, электрика, штукатура-маляра и т.п. для устранения неисправности)</t>
  </si>
  <si>
    <t xml:space="preserve">Уборка жилых помещений (18 кв.м): </t>
  </si>
  <si>
    <t xml:space="preserve"> - влажная уборка от пыли мебели</t>
  </si>
  <si>
    <t xml:space="preserve"> - влажная уборка от пыли подоконников</t>
  </si>
  <si>
    <t xml:space="preserve"> - подметание пола</t>
  </si>
  <si>
    <t xml:space="preserve"> - чистка ковров, дорожек вручную</t>
  </si>
  <si>
    <t xml:space="preserve"> - чистка ковров, дорожек пылесосом</t>
  </si>
  <si>
    <t>Содействие в оплате жилого помещения, коммунальных услуг, услуг связи и других услуг (заполнение квитанций, посещение кредитных организаций, организаций ЖКХ, расчетно-кассовых центров для внесения платы)</t>
  </si>
  <si>
    <t>Содействие в организации предоставления услуг предприятиями торговли, бытового обслуживания, связи и другими предприятиями, оказывающими услуги населению</t>
  </si>
  <si>
    <t>Содействие в предоставлении услуг парикмахера на дому (вызов на дом)</t>
  </si>
  <si>
    <t>Содействие в организации ритуальных услуг (вызов специализированных служб)</t>
  </si>
  <si>
    <t>Социально-медицинские услуги:</t>
  </si>
  <si>
    <t xml:space="preserve">Обеспечение санитарно-гигиенического ухода с учетом состояния здоровья: </t>
  </si>
  <si>
    <t xml:space="preserve"> - обтирание</t>
  </si>
  <si>
    <t xml:space="preserve"> - обмывание</t>
  </si>
  <si>
    <t xml:space="preserve"> - смена  нательного белья</t>
  </si>
  <si>
    <t xml:space="preserve"> - замена постельного белья</t>
  </si>
  <si>
    <t>Содействие в проведении медико-социальной экспертизы</t>
  </si>
  <si>
    <t xml:space="preserve"> - сбор необходимых документов;</t>
  </si>
  <si>
    <t xml:space="preserve"> - предоставление транспорта учреждения;</t>
  </si>
  <si>
    <t xml:space="preserve"> - сопровождение клиента социальным работником;</t>
  </si>
  <si>
    <t>Приобретение и доставка на дом лекарственных средств и изделий медицинского назначения по заключению врача</t>
  </si>
  <si>
    <t>Содействие в госпитализации:</t>
  </si>
  <si>
    <t xml:space="preserve"> - в экстренной госпитализации (вызов работника здравоохранения)</t>
  </si>
  <si>
    <t xml:space="preserve"> - в плановой госпитализации (договоренность с лечебно-профилактическим учреждением о дате госпитализации, сбор необходимых документов)</t>
  </si>
  <si>
    <t>Сопровождение в лечебно- профилактические учреждения для госпитализации:</t>
  </si>
  <si>
    <t xml:space="preserve"> - предоставление транспорта учреждения</t>
  </si>
  <si>
    <t xml:space="preserve"> - сопровождение клиента социальным работником</t>
  </si>
  <si>
    <t>Посещение больного в стационаре</t>
  </si>
  <si>
    <t xml:space="preserve">Содействие в получении путевок на санаторно-курортное лечение: </t>
  </si>
  <si>
    <t xml:space="preserve">- помощь в оформлении  необходимых документов, </t>
  </si>
  <si>
    <t xml:space="preserve"> - получение путевок на санаторно-курортное лечение</t>
  </si>
  <si>
    <t xml:space="preserve">Содействие в получении технических средств реабилитации, протезно-ортопедической  помощи </t>
  </si>
  <si>
    <t>Социально-психологические услуги</t>
  </si>
  <si>
    <t xml:space="preserve"> Психологическое консультирование</t>
  </si>
  <si>
    <t>Социально-правовые услуги</t>
  </si>
  <si>
    <t>Содействие в получении установленных законодательством мер социальной поддержки</t>
  </si>
  <si>
    <t>1.2. Социальные услуги для граждан пожилого возраста и инвалидов, в том числе детей-инвалидов, нуждающихся в постоянной посторонней помощи в стационарных условиях, неспособных к самообслуживанию, самостоятельному передвижению в связи с преклонным возрастом, болезнью, инвалидностью.</t>
  </si>
  <si>
    <t>Социально-бытовые услуги</t>
  </si>
  <si>
    <t>Приготовление пищи</t>
  </si>
  <si>
    <t>Разогрев пищи</t>
  </si>
  <si>
    <t xml:space="preserve">Подача пищи </t>
  </si>
  <si>
    <t>Кормление ослабленных граждан</t>
  </si>
  <si>
    <t>Мытье посуды</t>
  </si>
  <si>
    <t xml:space="preserve"> - мытье пола</t>
  </si>
  <si>
    <t>Топка печей для граждан, проживающих в жилых помещениях с печным отоплением</t>
  </si>
  <si>
    <t>Стирка  нательного и постельного белья:</t>
  </si>
  <si>
    <t xml:space="preserve">  - в машине</t>
  </si>
  <si>
    <t>1 кг.</t>
  </si>
  <si>
    <t xml:space="preserve">  - вручную</t>
  </si>
  <si>
    <t>Глаженье нательного и постельного белья</t>
  </si>
  <si>
    <t>Социально-медицинские услуги</t>
  </si>
  <si>
    <t xml:space="preserve"> - помывка в бане</t>
  </si>
  <si>
    <t xml:space="preserve"> - помывка в бане лежачих</t>
  </si>
  <si>
    <t xml:space="preserve"> - помывка в ванной</t>
  </si>
  <si>
    <t xml:space="preserve"> - помывка в ванной лежачих</t>
  </si>
  <si>
    <t xml:space="preserve"> - помывка в душе</t>
  </si>
  <si>
    <t xml:space="preserve"> - помывка в душе лежачих</t>
  </si>
  <si>
    <t>АУСОН ТО Таловский ПНИ</t>
  </si>
  <si>
    <t>АУСОН ТО Тюменский ДИ</t>
  </si>
  <si>
    <t>АУСОН ТО Исетский ДИ</t>
  </si>
  <si>
    <t>АУСОН ТО Истошинский ДИ</t>
  </si>
  <si>
    <t>АУСОН ТО Ялуторовский ПНИ</t>
  </si>
  <si>
    <t>АУСОН ТО Вагайский ДИ</t>
  </si>
  <si>
    <t>АУСОН ТО Щучинский ПНИ</t>
  </si>
  <si>
    <t>АУСОН ТО Михайловский ДИ</t>
  </si>
  <si>
    <t>АУСОН ТО Лесновский ПНИ</t>
  </si>
  <si>
    <t>АУСОН ТО Ишимский геронтологич. центр</t>
  </si>
  <si>
    <t>АУСОН ТО Зареченский ПНИ</t>
  </si>
  <si>
    <t>АУСОН ТО Винзилинский ПНИ</t>
  </si>
  <si>
    <t>АСУСОН ТО Ярковский ДИ</t>
  </si>
  <si>
    <t xml:space="preserve">3. Стационарное  социальное обслуживание граждан пожилого возраста и инвалидов </t>
  </si>
  <si>
    <t xml:space="preserve">Предоставление жилой площади </t>
  </si>
  <si>
    <t>1 кв.м., на 1 чел.в месяц</t>
  </si>
  <si>
    <t xml:space="preserve">Предоставление в пользование мебели: </t>
  </si>
  <si>
    <t>Шкаф для одежды и белья</t>
  </si>
  <si>
    <t xml:space="preserve"> 1 ед.</t>
  </si>
  <si>
    <t xml:space="preserve">Стол обеденный </t>
  </si>
  <si>
    <t xml:space="preserve">Стул </t>
  </si>
  <si>
    <t xml:space="preserve">Тумбочка прикроватная </t>
  </si>
  <si>
    <t xml:space="preserve">Вешалка настенная </t>
  </si>
  <si>
    <t xml:space="preserve">Светильник потолочный </t>
  </si>
  <si>
    <t xml:space="preserve">Зеркало </t>
  </si>
  <si>
    <t xml:space="preserve">Шторы </t>
  </si>
  <si>
    <t xml:space="preserve">Карниз </t>
  </si>
  <si>
    <t xml:space="preserve">Контейнер для мусора </t>
  </si>
  <si>
    <t xml:space="preserve">Радиоприемник </t>
  </si>
  <si>
    <t>Кровать с матрацем (полужестким)</t>
  </si>
  <si>
    <t xml:space="preserve">Кровать функциональная </t>
  </si>
  <si>
    <t>Кровать с защитными ограждениями (боковыми)</t>
  </si>
  <si>
    <t>Стол надкроватный (подкатной)</t>
  </si>
  <si>
    <t>Кресло – туалет (биотуалет)</t>
  </si>
  <si>
    <t xml:space="preserve">Приготовление и подача пищи </t>
  </si>
  <si>
    <t>в день, в соответствии с установленным в учреждении режимом питания</t>
  </si>
  <si>
    <t>Питание по установленным нормам, включая диетическое питание</t>
  </si>
  <si>
    <t>50% стоимости продуктов питания в день</t>
  </si>
  <si>
    <t>Предоставление мягкого инвентаря (одежды, обуви, нательного белья и постельных принадлежностей):</t>
  </si>
  <si>
    <t>верхняя пальтовая группа</t>
  </si>
  <si>
    <t>1 ед.</t>
  </si>
  <si>
    <t xml:space="preserve">одежда верхняя </t>
  </si>
  <si>
    <t>чулочно-носочные изделия</t>
  </si>
  <si>
    <t>обувь</t>
  </si>
  <si>
    <t xml:space="preserve">нательное белье </t>
  </si>
  <si>
    <t>головной убор</t>
  </si>
  <si>
    <t xml:space="preserve">постельные принадлежности </t>
  </si>
  <si>
    <t>Пододеяльник</t>
  </si>
  <si>
    <t>Простыня</t>
  </si>
  <si>
    <t>Наволочка</t>
  </si>
  <si>
    <t>Полотенце махровое</t>
  </si>
  <si>
    <t>Полотенце для рук</t>
  </si>
  <si>
    <t>Подушка</t>
  </si>
  <si>
    <t>Одеяло шерстяное</t>
  </si>
  <si>
    <t>Одеяло полушерстяное</t>
  </si>
  <si>
    <t>Одеяло синтепоновое</t>
  </si>
  <si>
    <t>Покрывало</t>
  </si>
  <si>
    <t xml:space="preserve">Коврик прикроватный </t>
  </si>
  <si>
    <t>Коврик настенный</t>
  </si>
  <si>
    <t>Оказание социально-бытовых услуг индивидуально-обслуживающего характера:</t>
  </si>
  <si>
    <t xml:space="preserve"> - услуги бани</t>
  </si>
  <si>
    <t xml:space="preserve"> - услуги ванны</t>
  </si>
  <si>
    <t>услуги парикмахера:</t>
  </si>
  <si>
    <t xml:space="preserve"> - бритье бороды</t>
  </si>
  <si>
    <t xml:space="preserve"> - бритье усов</t>
  </si>
  <si>
    <t xml:space="preserve"> - стрижка волос</t>
  </si>
  <si>
    <t xml:space="preserve"> - стрижка ногтей</t>
  </si>
  <si>
    <t>услуги прачечной:</t>
  </si>
  <si>
    <t xml:space="preserve"> - стирка в машине</t>
  </si>
  <si>
    <t xml:space="preserve"> - глажение белья автоматическим прессом</t>
  </si>
  <si>
    <t>Оказание социально-бытовых услуг индивидуально-обслуживающего и гигиенического характера гражданам, не способным по состоянию здоровья выполнять обычные житейские процедуры. Такие услуги (действия), как:</t>
  </si>
  <si>
    <t xml:space="preserve"> - помощь при одевании раздевании </t>
  </si>
  <si>
    <t xml:space="preserve"> - умывание</t>
  </si>
  <si>
    <t xml:space="preserve"> - причесывание</t>
  </si>
  <si>
    <t xml:space="preserve"> - гигиенический уход за телом</t>
  </si>
  <si>
    <t xml:space="preserve"> - кормление в постели</t>
  </si>
  <si>
    <t xml:space="preserve"> - помощь при пользовании туалетом или судном</t>
  </si>
  <si>
    <t xml:space="preserve"> - помощь при передвижении по территории учреждения</t>
  </si>
  <si>
    <t xml:space="preserve"> - осуществление ухода за зубами или зубными протезами</t>
  </si>
  <si>
    <t xml:space="preserve"> - оказание помощи при пользовании очками или слуховыми аппаратами</t>
  </si>
  <si>
    <t xml:space="preserve"> - перестилание постели</t>
  </si>
  <si>
    <t xml:space="preserve"> - замена простыни (пеленки)</t>
  </si>
  <si>
    <t>Предоставление транспорта при необходимости доставки граждан в учреждения здравоохранения</t>
  </si>
  <si>
    <t>Уборка жилых комнат</t>
  </si>
  <si>
    <t>Оказание помощи в написании и прочтении писем:</t>
  </si>
  <si>
    <t xml:space="preserve"> - написание письма</t>
  </si>
  <si>
    <t xml:space="preserve"> - прочтение письма</t>
  </si>
  <si>
    <t>Обеспечение книгами, журналами, настольными играми и иным необходимым для организации досуга инвентарем</t>
  </si>
  <si>
    <t>Проведение первичного медицинского осмотра и первичной санитарной обработки</t>
  </si>
  <si>
    <t>Оказание первичной медико-санитарной помощи:</t>
  </si>
  <si>
    <t xml:space="preserve"> - прием врача (фельдшера) в кабинете, при наличии показаний направление нуждающихся в специализированной медицинской помощи на обследование и лечение в учреждения здравоохранения (выдача направления) </t>
  </si>
  <si>
    <t xml:space="preserve"> - осмотр клиента врачом (фельдшером) в комнате проживания, при наличии показаний направление нуждающегося в специализированной медицинской помощи на обследование и лечение в учреждения здравоохранения (выдача направления)</t>
  </si>
  <si>
    <t xml:space="preserve"> - профилактика пролежней</t>
  </si>
  <si>
    <t xml:space="preserve"> - санитарно-гигиеническое просвещение населения </t>
  </si>
  <si>
    <t>Оказание помощи в выполнении процедур, связанных с сохранением здоровья:</t>
  </si>
  <si>
    <t xml:space="preserve"> - прием лекарственных препаратов</t>
  </si>
  <si>
    <t>1 услуга (в день)</t>
  </si>
  <si>
    <t xml:space="preserve"> - закапывание капель по назначению врача</t>
  </si>
  <si>
    <t xml:space="preserve"> - пользование  катетером и другими средствами медицинского назначения</t>
  </si>
  <si>
    <t xml:space="preserve"> - наблюдение за состоянием здоровья (измерение температуры тела, артериального давления)</t>
  </si>
  <si>
    <t>Содействие в получении бесплатной медицинской помощи в объеме базовой программы обязательного медицинского страхования граждан Российской Федерации, целевых программ и территориальных программ обязательного медицинского страхования в лечебно-профилактических  учреждениях</t>
  </si>
  <si>
    <t xml:space="preserve"> - запись на прием к специалисту учреждения здравоохранения</t>
  </si>
  <si>
    <t>Направление нуждающихся в специализированной медицинской помощи на обследование и лечение в учреждения здравоохранения</t>
  </si>
  <si>
    <t xml:space="preserve"> - выдача направления в учреждение здравоохранения</t>
  </si>
  <si>
    <t>Содействие в госпитализации нуждающихся в  учреждения здравоохранения:</t>
  </si>
  <si>
    <t>Содействие в экстренной госпитализации:</t>
  </si>
  <si>
    <t xml:space="preserve"> - вызов работника учреждения здравоохранения</t>
  </si>
  <si>
    <t>Содействие в плановой госпитализации:</t>
  </si>
  <si>
    <t xml:space="preserve"> - договоренность с лечебно-профилактическим учреждением о дате госпитализации</t>
  </si>
  <si>
    <t xml:space="preserve"> - сбор необходимых документов</t>
  </si>
  <si>
    <t xml:space="preserve"> - сопровождение гражданина в лечебно-профилактическое учреждение</t>
  </si>
  <si>
    <t>Содействие в направлении по медицинским показаниям на санаторно-курортное лечение</t>
  </si>
  <si>
    <t xml:space="preserve"> - помощь в оформлении необходимых документов, </t>
  </si>
  <si>
    <t xml:space="preserve"> - сопровождение клиента до ж/д, авто, авиавокзала</t>
  </si>
  <si>
    <t xml:space="preserve">Содействие в проведении медико-социальной экспертизы: </t>
  </si>
  <si>
    <t xml:space="preserve"> - запись на прием к специалистам</t>
  </si>
  <si>
    <t xml:space="preserve"> - подготовка и заполнение необходимых документов</t>
  </si>
  <si>
    <t xml:space="preserve"> - доставка гражданина транспортом учреждения в учреждения здравоохранения и службу медико-социальной экспертизы</t>
  </si>
  <si>
    <t xml:space="preserve"> - получение документов</t>
  </si>
  <si>
    <t xml:space="preserve">Содействие в получении стоматологической помощи: </t>
  </si>
  <si>
    <t xml:space="preserve"> - запись на прием к специалисту</t>
  </si>
  <si>
    <t>Содействие в получении протезно-ортопедической  помощи:</t>
  </si>
  <si>
    <t xml:space="preserve"> - подготовка необходимых документов</t>
  </si>
  <si>
    <t xml:space="preserve"> - сопровождение гражданина на протезирование</t>
  </si>
  <si>
    <t>Содействие в обеспечении техническими средствами ухода и реабилитации</t>
  </si>
  <si>
    <t xml:space="preserve">Организация прохождения диспансеризации: </t>
  </si>
  <si>
    <t xml:space="preserve"> - взаимодействие с лечебно-профилактическим учреждением в части согласования даты проведения диспансеризации</t>
  </si>
  <si>
    <t>Проведение реабилитационных мероприятий (медицинских,  социальных)</t>
  </si>
  <si>
    <t xml:space="preserve"> - ЛФК</t>
  </si>
  <si>
    <t xml:space="preserve"> - массаж</t>
  </si>
  <si>
    <t xml:space="preserve"> - физиолечение</t>
  </si>
  <si>
    <t>1 мин.</t>
  </si>
  <si>
    <t>Психодиагностика и обследование личности, социально – психологическое консультирование:</t>
  </si>
  <si>
    <t xml:space="preserve"> - психологическая диагностика</t>
  </si>
  <si>
    <t xml:space="preserve"> - социально-психологическое консультирование</t>
  </si>
  <si>
    <t>Психологическая помощь и поддержка</t>
  </si>
  <si>
    <t xml:space="preserve"> - оказание психологической помощи и поддержки, проведение психокоррекционной работы</t>
  </si>
  <si>
    <t>Социально-педагогические услуги</t>
  </si>
  <si>
    <t>Организация досуга:</t>
  </si>
  <si>
    <t xml:space="preserve"> - проведение культурно-досуговых мероприятий в учреждении</t>
  </si>
  <si>
    <t>Создание условий для использования остаточных трудовых возможностей и участия  в лечебно-трудовой деятельности:</t>
  </si>
  <si>
    <t xml:space="preserve"> - проведение мероприятий по восстановлению личностного и социального статуса</t>
  </si>
  <si>
    <t xml:space="preserve"> - проведение мероприятий творческой и физкультурно-спортивной  реабилитации</t>
  </si>
  <si>
    <t>Проведение мероприятий по обучению доступным профессиональным навыкам, пользованию техническими средствами реабилитации:</t>
  </si>
  <si>
    <t xml:space="preserve"> - проведение мероприятий по обучению инвалидов пользованию техническими средствами реабилитации (в том числе для творческой и физкультурно-спортивной реабилитации)</t>
  </si>
  <si>
    <t xml:space="preserve"> - профессиональное консультирование</t>
  </si>
  <si>
    <t>Социально-экономические услуги</t>
  </si>
  <si>
    <t xml:space="preserve">Обеспечение граждан при выписке из учреждения одеждой и обувью (в случае, если у гражданина отсутствует личная одежда и обувь) </t>
  </si>
  <si>
    <t>при выписке из учреждения 1ед. верхней одежды по сезону, 1 пара обуви по сезону, 1 головной убор по сезону. Для мужчин: трусы (кальсоны), майка, носки, брюки, сорочка. Для женщин: трусы (панталоны), сорочка нижняя, колготки, бюстгальтер, платье либо юбка с блузкой.</t>
  </si>
  <si>
    <t xml:space="preserve">Содействие в получении установленных законодательством мер социальной поддержки, оказание помощи в пенсионном обеспечении и предоставлении других социальных выплат </t>
  </si>
  <si>
    <t>АСУСОНТО Успенский детский ДИ</t>
  </si>
  <si>
    <t>К/ф накладных расходов</t>
  </si>
  <si>
    <t xml:space="preserve">3.3. Стационарное социальное обслуживание граждан, находящихся в трудной жизненной ситуации, нуждающимся в помощи и уходе  </t>
  </si>
  <si>
    <t>Приготовление и подача горячего питания</t>
  </si>
  <si>
    <t>100% стоимости продуктов питания в день</t>
  </si>
  <si>
    <t xml:space="preserve"> - ремонт одежды проживающих</t>
  </si>
  <si>
    <t xml:space="preserve"> - помощь в передвижении по комнате</t>
  </si>
  <si>
    <t>Проведение первичного медицинского осмотра и первичной санитарной обработки (при поступлении)</t>
  </si>
  <si>
    <t xml:space="preserve"> - подготовка необходимых документов для получения технических средств ухода и реабилитации в территориальный Фонд социального страхования</t>
  </si>
  <si>
    <t>Проведение лечебно-оздоровительных мероприятий, организация игр с детьми-инвалидами в игровых комнатах с набором различных игр</t>
  </si>
  <si>
    <t xml:space="preserve">Обучение ребенка-инвалида навыкам самообслуживания, персональной сохранности, поведения в быту и общественных местах, передвижению, ориентации, навыкам общения, самоконтролю </t>
  </si>
  <si>
    <t>Организация получения образования с учетом физических возможностей и умственных способностей: привитие детям-инвалидам навыков самообслуживания, поведения в быту и общественных местах, навыков общения и других форм жизнедеятельности; создание условий для дошкольного воспитания детей и получения образования по специальным программам с учетом их физических возможностей и умственных способностей; создание условий для получения школьного образования по специальным программам</t>
  </si>
  <si>
    <t xml:space="preserve">Обеспечение детей при выписке из учреждения одеждой и обувью (в случае, если отсутствует личная одежда и обувь) </t>
  </si>
  <si>
    <t>Оказание помощи в оформлении документов</t>
  </si>
  <si>
    <t>Оказание помощи проживающим в учреждениях стационарного социального обслуживания детям-инвалидам, являющимся сиротами или лишенным родительского попечительства и достигшим 18-летнего возраста, в обеспечении их жилыми помещениями органами местного самоуправления, по месту нахождения данных учреждений либо по месту прежнего места жительства, если индивидуальная программа реабилитации инвалида предусматривает возможность осуществлять им самообслуживание и вести самостоятельный образ жизни</t>
  </si>
  <si>
    <t xml:space="preserve">Предоставление в пользование мебели </t>
  </si>
  <si>
    <t>МАУ КЦСОН г. Ялуторовска</t>
  </si>
  <si>
    <t>МАУ КЦСОН г. Ялуторовск</t>
  </si>
  <si>
    <t xml:space="preserve"> - стрижка ногтей </t>
  </si>
  <si>
    <t xml:space="preserve"> - перевозка детей транспортом учреждения</t>
  </si>
  <si>
    <t xml:space="preserve"> - сопровождение работником учреждения</t>
  </si>
  <si>
    <t>Содействие в проведении медицинских обследований, в том числе и лабораторных</t>
  </si>
  <si>
    <t>Оказание первой доврачебной помощи</t>
  </si>
  <si>
    <t>Проведение мероприятий, направленных на профилактику обострений хронических и предупреждение инфекционных заболеваний</t>
  </si>
  <si>
    <t xml:space="preserve"> - обследование личности</t>
  </si>
  <si>
    <t xml:space="preserve"> - психодиагностика</t>
  </si>
  <si>
    <t>Проведение коррекционно-реабилитационных мероприятий индивидуальных и групповых</t>
  </si>
  <si>
    <t xml:space="preserve"> - беседа индивидуальная</t>
  </si>
  <si>
    <t xml:space="preserve"> - беседы групповые </t>
  </si>
  <si>
    <t xml:space="preserve"> - тренинг</t>
  </si>
  <si>
    <t xml:space="preserve"> - индивидуальные консультации</t>
  </si>
  <si>
    <t xml:space="preserve"> - ролевая игра</t>
  </si>
  <si>
    <t>Психопрофилактическая работа</t>
  </si>
  <si>
    <t>Проведение социально-психологического патронажа</t>
  </si>
  <si>
    <t>Социально-педагогический патронаж</t>
  </si>
  <si>
    <t>Социально-правовой патронаж</t>
  </si>
  <si>
    <t>Предоставление мягкого инвентаря:</t>
  </si>
  <si>
    <t>Содействие в налаживании быта, трудоустройстве</t>
  </si>
  <si>
    <t>Разработка и реализация индивидуальных и групповых программ комплексной, социальной реабилитации женщин</t>
  </si>
  <si>
    <t>Систематическое наблюдение за состоянием здоровья женщины</t>
  </si>
  <si>
    <t>Проведение мероприятий, направленных на привитие санитарно-гигиенических навыков</t>
  </si>
  <si>
    <t>Обучение основам социально-медицинских знаний для проведения лечебных мероприятий с детьми в домашних условиях</t>
  </si>
  <si>
    <t>Консультирование по социально-медицинским вопросам (планирование семьи, современные безопасные средства контрацепции, гигиена питания и жилища, избавление от вредных привычек, психосексуальное развитие детей и т.д.)</t>
  </si>
  <si>
    <t>Поведение санитарно-просветительской работы</t>
  </si>
  <si>
    <t>Содействие в направлении в специализированные лечебные учреждения здравоохранения нуждающихся в лечении в таких учреждениях</t>
  </si>
  <si>
    <t xml:space="preserve">Разработка и реализация социально-медицинских мероприятий индивидуальной программы социальной реабилитации, направленных на решение проблем женщины </t>
  </si>
  <si>
    <t>Проведение психодиагностики и обследования личности</t>
  </si>
  <si>
    <t xml:space="preserve"> - психодиагностика диагностика</t>
  </si>
  <si>
    <t>Психологическое консультирование (по вопросам преодоления внутрисемейных конфликтов, неадекватных форм поведения, улучшение супружеских отношений и т.д.)</t>
  </si>
  <si>
    <t>Оказание социально-психологических услуг через клубную и кружковую работу</t>
  </si>
  <si>
    <t>Разработка и реализация социально-психологических мероприятий индивидуальной программы социальной реабилитации, направленных на решение проблем женщины</t>
  </si>
  <si>
    <t>Проведение социально-педагогической диагностики</t>
  </si>
  <si>
    <t>Организация досуга (создание обществ, клубов общения и взаимопомощи женщинам, нуждающимся в поддержке, проведение праздников, юбилеев, игр, других культурных мероприятий)</t>
  </si>
  <si>
    <t>Социально-педагогическое консультирование по вопросам отношений между родителями и детьми, особенностей возрастного и индивидуального развития детей, педагогической состоятельности рожениц, а также методики семейного воспитания</t>
  </si>
  <si>
    <t>Разработка и реализация социально-педагогических мероприятий индивидуальной программы социальной реабилитации, направленных на решение проблем женщины</t>
  </si>
  <si>
    <t>Содействие в оказании материальной помощи</t>
  </si>
  <si>
    <t>Консультирование по вопросам самообеспечения</t>
  </si>
  <si>
    <t>Содействие (через орган опеки и попечительства при необходимости, службы занятости) в получении временной или постоянной работы, соответствующей их возможностям, интересам, потребностям, а также в профессиональной ориентации или получении специальности</t>
  </si>
  <si>
    <t>Консультирование женщин по социально-правовым вопросам (жилищное, гражданское, уголовное, семейно-брачное законодательство, прав женщин, детей и др.)</t>
  </si>
  <si>
    <t>Оказание юридической помощи в оформлении документов для осуществления предусмотренных законодательством Российской Федерации, Тюменской области мер социальной поддержки</t>
  </si>
  <si>
    <t>Содействие в привлечении к ответственности лиц, допускающих насилие по отношению к женщине, оказание ей юридической помощи в оформлении документов, необходимых для привлечения к ответственности лиц, допустивших насилие</t>
  </si>
  <si>
    <t>1 раз в день</t>
  </si>
  <si>
    <t>Организация различных форм труда, отдыха и оздоровления детей и подростков в каникулярное время</t>
  </si>
  <si>
    <t>Проведение общеукрепляющих физкультурно-оздоровительных мероприятий:</t>
  </si>
  <si>
    <t>Индивидуальная работа, направленная на предупреждение появления вредных привычек и избавление от них</t>
  </si>
  <si>
    <t>Проведение коррекционно-реабилитационных мероприятий индивидуальных и групповых:</t>
  </si>
  <si>
    <t>Консультирование по вопросам социально-бытовой адаптации и социально-средовой реабилитации.</t>
  </si>
  <si>
    <t>Оказание содействия в реализации мероприятий по социально-бытовой адаптации.</t>
  </si>
  <si>
    <t>АУСОН ТО ЦСП "БОМЖ"</t>
  </si>
  <si>
    <t>АУ ИГ ЦСОН "Забота"</t>
  </si>
  <si>
    <t>К/Ф Накладных расходов</t>
  </si>
  <si>
    <t xml:space="preserve"> Стационарное  социальное обслуживание граждан пожилого возраста и инвалидов </t>
  </si>
  <si>
    <t>1 ед. в месяц</t>
  </si>
  <si>
    <t xml:space="preserve"> КЦСОН области</t>
  </si>
  <si>
    <t>Максимальный уровень тарифов, руб.</t>
  </si>
  <si>
    <t xml:space="preserve"> -шкаф для одежды и белья</t>
  </si>
  <si>
    <t xml:space="preserve"> -стол обеденный </t>
  </si>
  <si>
    <t xml:space="preserve"> -стул </t>
  </si>
  <si>
    <t xml:space="preserve"> -тумбочка прикроватная </t>
  </si>
  <si>
    <t xml:space="preserve"> -вешалка настенная </t>
  </si>
  <si>
    <t xml:space="preserve"> -светильник потолочный </t>
  </si>
  <si>
    <t xml:space="preserve"> -зеркало </t>
  </si>
  <si>
    <t xml:space="preserve"> -шторы </t>
  </si>
  <si>
    <t xml:space="preserve"> -карниз </t>
  </si>
  <si>
    <t xml:space="preserve"> -контейнер для мусора </t>
  </si>
  <si>
    <t xml:space="preserve"> -радиоприемник </t>
  </si>
  <si>
    <t xml:space="preserve"> -кровать с матрацем (полужестким)</t>
  </si>
  <si>
    <t xml:space="preserve"> -кровать функциональная </t>
  </si>
  <si>
    <t xml:space="preserve"> -кровать с защитными ограждениями (боковыми)</t>
  </si>
  <si>
    <t xml:space="preserve"> -стол надкроватный (подкатной)</t>
  </si>
  <si>
    <t xml:space="preserve"> -кресло – туалет (биотуалет)</t>
  </si>
  <si>
    <t xml:space="preserve"> -верхняя пальтовая группа</t>
  </si>
  <si>
    <t xml:space="preserve"> -одежда верхняя </t>
  </si>
  <si>
    <t xml:space="preserve"> -чулочно-носочные изделия</t>
  </si>
  <si>
    <t xml:space="preserve"> -обувь</t>
  </si>
  <si>
    <t xml:space="preserve"> -нательное белье </t>
  </si>
  <si>
    <t xml:space="preserve"> -постельные принадлежности </t>
  </si>
  <si>
    <t xml:space="preserve"> -пододеяльник</t>
  </si>
  <si>
    <t xml:space="preserve"> -простыня</t>
  </si>
  <si>
    <t xml:space="preserve"> -наволочка</t>
  </si>
  <si>
    <t xml:space="preserve"> -полотенце махровое</t>
  </si>
  <si>
    <t xml:space="preserve"> -полотенце для рук</t>
  </si>
  <si>
    <t xml:space="preserve"> -подушка</t>
  </si>
  <si>
    <t xml:space="preserve"> -одеяло шерстяное</t>
  </si>
  <si>
    <t xml:space="preserve"> -одеяло полушерстяное</t>
  </si>
  <si>
    <t xml:space="preserve"> -одеяло синтепоновое</t>
  </si>
  <si>
    <t xml:space="preserve"> -покрывало</t>
  </si>
  <si>
    <t xml:space="preserve"> -коврик прикроватный </t>
  </si>
  <si>
    <t xml:space="preserve"> -коврик настенный</t>
  </si>
  <si>
    <t xml:space="preserve"> -полотенце</t>
  </si>
  <si>
    <t xml:space="preserve"> -одеяло ватное</t>
  </si>
  <si>
    <t xml:space="preserve"> -одеяло байковое</t>
  </si>
  <si>
    <t xml:space="preserve"> - матрац</t>
  </si>
  <si>
    <t>1единица</t>
  </si>
  <si>
    <t xml:space="preserve">  - в машине (не более 3 кг)</t>
  </si>
  <si>
    <t xml:space="preserve">  - вручную (не более 1 кг)</t>
  </si>
  <si>
    <t>Глаженье нательного и постельного белья (не более 3 кг)</t>
  </si>
  <si>
    <t xml:space="preserve">Покупка за счет средств получателя социальных услуг и доставка на дом продуктов питания, промышленных товаров первой необходимости (не более 7 кг за 1 доставку) </t>
  </si>
  <si>
    <t>Покупка за счет средств получателя социальных услуг и доставка на дом горячих обедов</t>
  </si>
  <si>
    <t>Доставка воды для получателей социальных услуг, проживающих в жилых помещениях без централизованного водоснабжения (не более 20 л)</t>
  </si>
  <si>
    <t xml:space="preserve">Поднос дров из поленницы в жилое помещение (не более 7 кг за 1 поднос дров (не более 3 доставок дров из поленницы в день посещения). </t>
  </si>
  <si>
    <t>Содействие в топке печей для получателей социальных услуг, проживающих в жилых помещениях с печным отоплением</t>
  </si>
  <si>
    <t xml:space="preserve">Сдача вещей в стирку, химчистку, ремонт и обратная их доставка (не более 7 кг за одну доставку) </t>
  </si>
  <si>
    <t>Содействие в организации срочного ремонта жилых помещений (вызов на дом специалиста для устранения неисправностей)</t>
  </si>
  <si>
    <t xml:space="preserve"> - чистка ковров, дорожек </t>
  </si>
  <si>
    <t>Оказание услуг гигиенического характера с учетом состояния здоровья получателя социальных услуг:</t>
  </si>
  <si>
    <t xml:space="preserve"> - смена постельного белья</t>
  </si>
  <si>
    <t xml:space="preserve"> - мытье в бане</t>
  </si>
  <si>
    <t xml:space="preserve"> - мытье в бане лежачих</t>
  </si>
  <si>
    <t xml:space="preserve"> - мытье в ванной</t>
  </si>
  <si>
    <t xml:space="preserve"> - мытье  в ванной лежачих</t>
  </si>
  <si>
    <t xml:space="preserve"> - мытье в душе</t>
  </si>
  <si>
    <t xml:space="preserve"> - мытье в душе лежачих</t>
  </si>
  <si>
    <t xml:space="preserve">Приобретение и доставка на дом лекарственных препаратов для медицинского применения и медицинских изделий по заключению врача  </t>
  </si>
  <si>
    <t>Содействие в госпитализации получателей социальных услуг в медицинские организации:</t>
  </si>
  <si>
    <t xml:space="preserve"> - в экстренной госпитализации (вызов работника медицинской организации)</t>
  </si>
  <si>
    <t xml:space="preserve"> - в плановой госпитализации (договоренность с медицинской организацией о дате госпитализации, сбор необходимых документов)</t>
  </si>
  <si>
    <t>Сопровождение в медицинские организации при госпитализации получателей социальных услуг:</t>
  </si>
  <si>
    <t xml:space="preserve"> - предоставление транспорта организации</t>
  </si>
  <si>
    <t xml:space="preserve"> - сопровождение получателя социальных услуг социальным работником </t>
  </si>
  <si>
    <t>Посещение получателя социальных услуг, находящегося на стационарном лечении в медицинской организации (не более 30 минут)</t>
  </si>
  <si>
    <t>Социально-психологическое консультирование</t>
  </si>
  <si>
    <t>Кормление ослабленных получателей социальных услуг</t>
  </si>
  <si>
    <t xml:space="preserve">Оказание помощи  в освоении и выполнении посильных физических упражнений по рекомендации врача </t>
  </si>
  <si>
    <t xml:space="preserve"> - получение технических средств реабилитации , ортопедических изделий и передачу их получателю социальных услуг</t>
  </si>
  <si>
    <t>Предоставление площади жилых помещений, оснащенных мебелью и оборудованием, согласно нормативам, утвержденным уполномоченным органом</t>
  </si>
  <si>
    <t>1 кв м*3+стоимость мебели</t>
  </si>
  <si>
    <t>Обеспечение питанием или продуктовым набором согласно нормам, утвержденным уполномоченным органом:</t>
  </si>
  <si>
    <t xml:space="preserve"> -1 раз в день</t>
  </si>
  <si>
    <t xml:space="preserve"> -2 раза в день</t>
  </si>
  <si>
    <t>Обеспечение мягким инвентарем (нательным бельем и постельными принадлежностями) согласно нормативам, утвержденным уполномоченным органом:</t>
  </si>
  <si>
    <t xml:space="preserve"> - нательное белье </t>
  </si>
  <si>
    <t>среднее между дез обработкой личных вещей, мягкого инвентаря, матраца</t>
  </si>
  <si>
    <t xml:space="preserve">Дезинфекционная обработка </t>
  </si>
  <si>
    <t>Оказание услуг индивидуально-обслуживающего характера  (услуги бани (ванны, душа), прачечной):</t>
  </si>
  <si>
    <t xml:space="preserve"> - услуга  помывка в бане, ванной,душе</t>
  </si>
  <si>
    <t xml:space="preserve"> - услуга  помывка в бане, ванной, душе (лежачих)</t>
  </si>
  <si>
    <t xml:space="preserve"> - услуги прачечной</t>
  </si>
  <si>
    <t>Предоставление транспорта</t>
  </si>
  <si>
    <t>Содействие в госпитализации нуждающихся получателей социальных услуг в медицинские организации</t>
  </si>
  <si>
    <t>Содействие в получении технических средств реабилитации и услуг по реабилитации в соответствии с индивидуальной программой реабилитации инвалида</t>
  </si>
  <si>
    <t xml:space="preserve">Содействие в проведении медико-социальной экспертизы   </t>
  </si>
  <si>
    <t>Содействие в получении бесплатной медицинской помощи в объеме базовой программы обязательного медицинского страхования граждан Российской Федерации, целевых программ и территориальных программ обязательного медицинского страхования в медицинских организациях</t>
  </si>
  <si>
    <t>Психологическая диагностика и обследование личности</t>
  </si>
  <si>
    <t>Оказание психологической помощи и поддержки, в том числе проведение психокоррекционной работы</t>
  </si>
  <si>
    <t>Оказание помощи в оформлении и восстановлении документов</t>
  </si>
  <si>
    <t>Услуги  по защите прав и законных интересов получателей социальных услуг в установленном законодательством порядке, в том числе содействие в вопросах восстановления утраченной жилой площади, в подготовке документов для постановки на учет нуждающихся в жилых помещениях; судебное сопровождение по вопросу восстановления прав на утраченное жилье</t>
  </si>
  <si>
    <t>Услуги  по защите прав и законных интересов получателей социальных услуг в установленном законодательством порядке, в том числе содействие в решении вопросов пенсионного обеспечения</t>
  </si>
  <si>
    <t>Услуги  по защите прав и законных интересов получателей социальных услуг в установленном законодательством порядке, в том числе содействие в направлении в организации социального обслуживания</t>
  </si>
  <si>
    <t>Услуги  по защите прав и законных интересов получателей социальных услуг в установленном законодательством порядке, в том числе содействие в оформлении регистрации по месту пребывания</t>
  </si>
  <si>
    <t>Услуги  по защите прав и законных интересов получателей социальных услуг в установленном законодательством порядке, в том числе судебное сопровождение по вопросам восстановления на работе</t>
  </si>
  <si>
    <t>Оказание помощи в трудоустройстве</t>
  </si>
  <si>
    <t>Осуществление мероприятий по восстановлению профессиональных навыков, в том числе содействие в направлении на общественные работы</t>
  </si>
  <si>
    <t>Оказание помощи в получении квалификации получателям социальных услуг, не имеющим профессиональных навыков</t>
  </si>
  <si>
    <t>Социально-трудовые услуги</t>
  </si>
  <si>
    <t>Обеспечение продуктовым набором согласно нормативам, утвержденным уполномоченным органом (за исключением детей от 0 до 3 лет с ограниченными возможностями здоровья).</t>
  </si>
  <si>
    <t>Консультирование по вопросам медицинской реабилитации.</t>
  </si>
  <si>
    <t>Проведение лечебно-оздоровительных мероприятий.</t>
  </si>
  <si>
    <t>Логопедическая помощь (в отношении детей от 0 до 3 лет с ограниченными возможностями здоровья, детей-инвалидов).</t>
  </si>
  <si>
    <t>Социально-психологическое консультирование.</t>
  </si>
  <si>
    <t>Оказание психологической помощи и поддержки, в том числе проведение психокоррекционной работы.</t>
  </si>
  <si>
    <t>Оказание содействия в подборе технических средств реабилитации (в отношении детей от 0 до 3 лет с ограниченными возможностями здоровья).</t>
  </si>
  <si>
    <t>Оценка развития              (в отношении детей от 0 до 3 лет  с ограниченными возможностями здоровья).</t>
  </si>
  <si>
    <t>Социально-медицинский патронаж (в отношении детей от 0 до 3 лет с ограниченными возможностями здоровья).</t>
  </si>
  <si>
    <t xml:space="preserve"> Проведение оценки психологического климата в семье и оценки взаимодействия матери и ребенка (в отношении детей от 0 до 3 лет с ограниченными возможностями здоровья).</t>
  </si>
  <si>
    <t xml:space="preserve">Социально-психологический патронаж </t>
  </si>
  <si>
    <t>Социально-педагогическая коррекция, включая диагностику и консультирование.</t>
  </si>
  <si>
    <t>Обучение родителей (законных представителей), иных членов семьи инвалида (ребенка-инвалида, ребенка от 0 до 3 лет  с ограниченными возможностями здоровья) основам реабилитации.</t>
  </si>
  <si>
    <t xml:space="preserve">Социально-педагогический патронаж </t>
  </si>
  <si>
    <t>Обучение пользованию техническими средствами реабилитации.</t>
  </si>
  <si>
    <t>Обучение родителей (законных представителей), иных членов семьи  ребенка методам развития (коррекции) ранней коммуникации, навыкам повседневной деятельности, приемам ухода за ребенком (в отношении детей от 0 до 3 лет с ограниченными возможностями здоровья).</t>
  </si>
  <si>
    <t>Проведение оценки двигательных, психических и сенсорных функций организма, оценки уровня продуктивности деятельности (в отношении детей от 0 до 3 лет с ограниченными возможностями здоровья).</t>
  </si>
  <si>
    <t>Оказание помощи в получении образования и (или) квалификации инвалидами (детьми-инвалидами) в соответствии с их способностями согласно индивидуальной программе реабилитации инвалида</t>
  </si>
  <si>
    <t>Услуги по защите прав и законных интересов получателей социальных услуг в установленном законодательством порядке</t>
  </si>
  <si>
    <t>Оказание помощи в оформлении и восстановлении документов.</t>
  </si>
  <si>
    <t>Услуги в целях повышения коммуникативного потенциала получателей социальных услуг, имеющих ограничения жизнедеятельности, в том числе детей-инвалидов</t>
  </si>
  <si>
    <t>Обучение навыкам самообслуживания, персональной сохранности, поведения в быту и общественных местах, передвижению, ориентации, навыкам общения, самоконтролю, методам реабилитации (за исключением детей от 0 до 3 лет с ограниченными возможностями здоровья).</t>
  </si>
  <si>
    <t>Организация и проведение занятий по развитию творческих способностей, двигательной активности, а в отношении детей-инвалидов также игровой деятельности (за исключением детей от 0 до 3 лет с ограниченными возможностями здоровья).</t>
  </si>
  <si>
    <t>Предоставление нежилых помещений для организации реабилитационных мероприятий, трудовой деятельности, культурного и бытового обслуживания</t>
  </si>
  <si>
    <t>Предоставление продуктового набора согласно нормам, утвержденным уполномоченным органом</t>
  </si>
  <si>
    <t xml:space="preserve">Отправка за счет средств получателя социальных услуг почтовой корреспонденции </t>
  </si>
  <si>
    <t>Социальный патронаж</t>
  </si>
  <si>
    <t>Оказание первичной медико-санитарной помощи</t>
  </si>
  <si>
    <t xml:space="preserve">1 услуга </t>
  </si>
  <si>
    <t>Консультирование по социально-медицинским вопросам (в частности по вопросам планирования семьи, современных безопасных средств контрацепции, гигиены питания и жилища, психосексуального развития детей, способам поддержания и сохранения здоровья, проведения оздоровительных мероприятий).</t>
  </si>
  <si>
    <t>Обучение санитарно-гигиеническим навыкам</t>
  </si>
  <si>
    <t>Социально-психологический патронаж.</t>
  </si>
  <si>
    <t>Организация досуга (праздники, экскурсии,  клубная и кружковая деятельность и другие культурные мероприятия)</t>
  </si>
  <si>
    <t xml:space="preserve">Оказание помощи в оформлении и восстановлении документов, в том числе: осуществление помощи получателю социальных услуг в написании документов и заполнении форм документов, оказание помощи в сборе и подаче в соответствующие органы, организации
документов (сведений), необходимых для восстановления документов, осуществление контроля за ходом и результатами рассмотрения документов, поданных в органы, организации.
</t>
  </si>
  <si>
    <t>от __________ № __</t>
  </si>
  <si>
    <t>Предоставление площади жилых помещений согласно нормативам, утвержденным уполномоченным органом</t>
  </si>
  <si>
    <t>Обеспечение питанием согласно нормам, утвержденным уполномоченным органом</t>
  </si>
  <si>
    <t>Обеспечение мягким инвентарем (одеждой, обувью, головным убором, нательным бельем и постельными принадлежностями) согласно нормативам, утвержденным уполномоченным органом</t>
  </si>
  <si>
    <t>глажение белья (4 кг.);</t>
  </si>
  <si>
    <t>услуги бани (ванны, душа)</t>
  </si>
  <si>
    <t>стирка в машине (4 кг)</t>
  </si>
  <si>
    <t>ремонт одежды проживающих (4 ед.)</t>
  </si>
  <si>
    <t xml:space="preserve">стрижка волос </t>
  </si>
  <si>
    <t xml:space="preserve">стрижка ногтей </t>
  </si>
  <si>
    <t>??</t>
  </si>
  <si>
    <t>Уборка жилых помещений</t>
  </si>
  <si>
    <t>Обеспечение сохранности личных вещей и ценностей, сданных на хранение поставщику социальных услуг согласно установленному им порядку</t>
  </si>
  <si>
    <t>Обеспечение получателей социальных услуг при выписке из организации социального обслуживания одеждой и обувью по сезону (при отсутствии личной одежды и обуви):</t>
  </si>
  <si>
    <t xml:space="preserve">- 1 комплекта нательного белья; </t>
  </si>
  <si>
    <t xml:space="preserve">- не более 4 единиц верхней одежды по сезону; </t>
  </si>
  <si>
    <t xml:space="preserve">- 1 пары обуви по сезону; </t>
  </si>
  <si>
    <t>- 1 головного убора по сезону</t>
  </si>
  <si>
    <t>Систематическое наблюдение за получателями социальных услуг для выявления отклонений в состоянии их здоровья (измерение температуры тела, измерение артериального давления)</t>
  </si>
  <si>
    <t>Содействие в обеспечении по заключению врачей лекарственными препаратами для медицинского применения и медицинскими изделиями.</t>
  </si>
  <si>
    <t>Консультирование по социально-медицинским вопросам (в частности по  вопросам особенностей физиологического развития, гигиены, питания, способам поддержания и сохранения здоровья, вопросам проведения лечебно-оздоровительных мероприятий)</t>
  </si>
  <si>
    <t>Обучение основам социально-медицинских знаний для проведения лечебно-оздоровительных мероприятий с детьми в домашних условиях (только для женщин)</t>
  </si>
  <si>
    <t>Социально-психологическое консультирование, в том числе по вопросам преодоления внутрисемейных конфликтов, преодоления неадекватных форм поведения, улучшения детско-родительских взаимоотношений.</t>
  </si>
  <si>
    <t>Социально-психологический патронаж</t>
  </si>
  <si>
    <t>Социально-педагогическая помощь, включая диагностику, консультирование и коррекцию, в том числе: выявление признаков, характеризующих нормальное или отклоняющееся поведение получателя социальных услуг, в том числе изучение его склонностей и потенциала, установление форм и степени социальной дезадаптации (при ее наличии); определение комплекса мероприятий по социально-педагогическому консультированию и  коррекции</t>
  </si>
  <si>
    <t>Организация досуга (в том числе проведение культурно-досуговых мероприятий в организации, клубная и кружковая деятельность, экскурсии).</t>
  </si>
  <si>
    <t>Осуществление мероприятий по социально-педагогическому консультированию и  коррекции путем проведения индивидуальных или групповых занятий.</t>
  </si>
  <si>
    <t>Оказание помощи в получении общего образования, определение оптимальной формы обучения, в том числе: сбор необходимых документов и представление их в образовательную организацию для зачисления несовершеннолетнего получателя социальных услуг на обучение; контроль посещения получателем социальных услуг образовательной организации; осуществление сопровождение (при необходимости); оказание помощи в подготовке домашних заданий (при необходимости).</t>
  </si>
  <si>
    <t xml:space="preserve">Социально-правовые услуги                                                                                                                                       </t>
  </si>
  <si>
    <t xml:space="preserve">  Услуги по защите прав и законных интересов получателей социальных услуг в установленном законодательством порядке, в том числе: консультирование по интересующим получателя социальных услуг вопросам;содействие в подготовке и направлении в соответствующие органы, организации,  заявлений и документов;личное обращение сотрудника поставщика 
социальных услуг в интересах получателя социальных услуг в органы (в том числе судебные органы); осуществление контроля за ходом и результатами рассмотрения документов, поданных в органы, организации.
</t>
  </si>
  <si>
    <t xml:space="preserve">Оказание помощи в оформлении и восстановлении документов, в том числе: осуществление помощи получателю социальных услуг в написании документов и заполнении форм документов; оказание помощи в сборе и подаче в соответствующие органы, организации
документов (сведений), необходимых для восстановления документов; осуществление контроля за ходом и результатами рассмотрения документов, поданных в органы, организации.
</t>
  </si>
  <si>
    <t>Участие в организации поиска родителей, родных и близких детей, прибывающих без родителей, в том числе: оформление заявления в органах внутренних дел о розыске родителей (законных представителей), иных родственников несовершеннолетнего; оказание содействия органам внутренних дел в проведении  розыскных мероприятий по установлению места нахождения родителей  (законных представителей) и ближайших родственников.</t>
  </si>
  <si>
    <t xml:space="preserve">Социально-трудовые услуги                                                                                                                                       </t>
  </si>
  <si>
    <t>Оказание помощи в получении профессионального образования и (или) квалификации, в том числе: предоставление получателю социальных услуг  информации о возможности получения профессионального образования, профессионального обучения, и дополнительного образования; оказание помощи в сборе и подаче документов  в образовательную организацию.</t>
  </si>
  <si>
    <t>Предоставление площади жилых помещений   (при размещении в комнате не менее двух человек), оснащенных мебелью, оборудованием, инвентарем согласно нормативам, утвержденным уполномоченным органом.</t>
  </si>
  <si>
    <t>на 1 чел.в месяц</t>
  </si>
  <si>
    <t>Обеспечение питанием согласно нормам, утвержденным уполномоченным органом, в том числе:</t>
  </si>
  <si>
    <t>Продукты питания, включая диетическое питание</t>
  </si>
  <si>
    <t>пальтовая группа</t>
  </si>
  <si>
    <t>Обеспечение мягким инвентарем (одеждой, обувью, головным убором, нательным бельем и постельными принадлежностями) согласно нормативам,   утвержденным уполномоченным органом, в том числе:</t>
  </si>
  <si>
    <t xml:space="preserve"> - услуги бани для лежачих</t>
  </si>
  <si>
    <t xml:space="preserve"> - услуга по бритью бороды, усов  </t>
  </si>
  <si>
    <t xml:space="preserve"> - услуга по стрижке волос</t>
  </si>
  <si>
    <t xml:space="preserve"> - услуга по стрижке ногтей </t>
  </si>
  <si>
    <t xml:space="preserve"> - стирка белья в машине,  глажение белья согласно нормативам </t>
  </si>
  <si>
    <t>Оказание услуг индивидуально-обслуживающего характера получателям социальных услуг, не способным по состоянию здоровья самостоятельно осуществлять за собой уход (помощь в передвижении по комнате и территории организации; помощь при одевании и раздевании; умывание; причесывание; перестилание постели с заменой постельного белья (пеленки); оказание помощи при пользовании очками или слуховыми аппаратами), в том числе:</t>
  </si>
  <si>
    <t xml:space="preserve"> - помощь в передвижении по комнате и территории организации</t>
  </si>
  <si>
    <t xml:space="preserve"> - умывание, причесывание</t>
  </si>
  <si>
    <t xml:space="preserve"> - обтирание, обмывание</t>
  </si>
  <si>
    <t xml:space="preserve"> - помощь при пользовании туалетом или судном, включая обработку судна </t>
  </si>
  <si>
    <t xml:space="preserve"> - перестилание постели с заменой постельного белья </t>
  </si>
  <si>
    <t xml:space="preserve">Оказание услуг гигиенического характера получателям социальных услуг, не способным по состоянию здоровья самостоятельно осуществлять за собой уход (гигиенический уход за телом: обтирание, обмывание; замена абсорбирующего белья; кормление в постели; помощь при пользовании туалетом или судном; осуществление ухода за зубами или зубными протезами), в том числе: </t>
  </si>
  <si>
    <t xml:space="preserve"> - замена абсорбирующего белья </t>
  </si>
  <si>
    <t xml:space="preserve">Предоставление транспорта при необходимости доставки получателя социальных услуг в медицинские организации </t>
  </si>
  <si>
    <t xml:space="preserve"> - сопровождение получателя социальных услуг сотрудником поставщика социальных услуг </t>
  </si>
  <si>
    <t>Оказание помощи в написании и прочтении писем,отправка за счет получателя социальных услуг почтовой корреспонденции</t>
  </si>
  <si>
    <t>Организация досуга, в том числе обеспечение книгами, журналами, настольными играми</t>
  </si>
  <si>
    <t>Оказание первичной медико-санитарной помощи, в том числе:</t>
  </si>
  <si>
    <t xml:space="preserve"> - лечение наиболее распространенных болезней, а также травм, отравлений и других неотложных состояний, медицинская профилактика важнейших заболеваний</t>
  </si>
  <si>
    <t xml:space="preserve"> -  санитарно-гигиеническое просвещение получателя социальных услуг.</t>
  </si>
  <si>
    <t>тариф в день, в соответствии с потребностью пролучателя услу</t>
  </si>
  <si>
    <t xml:space="preserve"> - проведение лечебной физкультуры;  </t>
  </si>
  <si>
    <t xml:space="preserve"> -  проведение массажа; </t>
  </si>
  <si>
    <t xml:space="preserve"> - проведение физиотерапевтических процедур;  </t>
  </si>
  <si>
    <t>Выполнение процедур, связанных с сохранением здоровья (организация приема лекарственных средств по назначению врача, проведение медицинских манипуляций по назначению врача, пользование приборами медицинского назначения), в том числе:</t>
  </si>
  <si>
    <t xml:space="preserve"> - организация приема лекарственных средств по назначению врача, в том числе контроль за соблюдением предписаний врача, связанных со временем приема, частотой приема, способом приема и сроком годности лекарств;</t>
  </si>
  <si>
    <t xml:space="preserve"> -  оказание помощи в пользовании приборами медицинского назначения</t>
  </si>
  <si>
    <t>Систематическое наблюдение за получателями социальных услуг для выявления отклонений в состоянии их здоровья  (измерение температуры тела и артериального давления)</t>
  </si>
  <si>
    <t>Содействие в направлении  получателей социальных услуг, нуждающихся в специализированной медицинской помощи, на обследование и лечение в медицинские организации</t>
  </si>
  <si>
    <t xml:space="preserve"> - сопровождение медицинским работником поставщика  социальных услуг получателя социальных услуг в медицинскую организацию;</t>
  </si>
  <si>
    <t xml:space="preserve"> - сопровождение  получателя социальных услуг</t>
  </si>
  <si>
    <t>Содействие в получении стоматологической помощи</t>
  </si>
  <si>
    <t xml:space="preserve">Содействие в получении протезно-ортопедической помощи в соответствии с ИПР инвалида или медицинским заключением, в том числе: </t>
  </si>
  <si>
    <t xml:space="preserve"> - сбор и подача документов, необходимых для постановки на учет нуждающихся в протезно-ортопедической помощи;</t>
  </si>
  <si>
    <t xml:space="preserve"> - сопровождение получателя социальных услуг для получения протезно-ортопедической помощи либо получение протезно-ортопедических изделий и передача их получателю социальных услуг. </t>
  </si>
  <si>
    <t xml:space="preserve">Содействие в получении технических средств реабилитации и услуг по реабилитации в соответствии с ИПР инвалида, в том числе: </t>
  </si>
  <si>
    <t xml:space="preserve"> - сбор и подача документов, необходимых для постановки на учет нуждающихся в предоставлении технических средств реабилитации и услуг по реабилитации</t>
  </si>
  <si>
    <t xml:space="preserve"> - сопровождение получателя социальных услуг для получения технических средств реабилитации и услуг по реабилитации либо получение технических средств реабилитации и передача их получателю социальных услуг.</t>
  </si>
  <si>
    <t xml:space="preserve">Подготовка и содействие в прохождении диспансеризации, организация выполнения рекомендаций врачей по итогам диспансеризации,  в том числе: </t>
  </si>
  <si>
    <t xml:space="preserve"> -  сбор и передача в медицинскую организацию документов, необходимых для проведения диспансеризации;</t>
  </si>
  <si>
    <t>Оказание психологической помощи и поддержки</t>
  </si>
  <si>
    <t>Организация досуга (проведение культурно-досуговых мероприятий в организации)</t>
  </si>
  <si>
    <t xml:space="preserve"> Обучение инвалидов пользованию техническими средствами реабилитации </t>
  </si>
  <si>
    <t>Услуги  по защите прав и законных интересов получателей социальных услуг в установленном законодательством порядке</t>
  </si>
  <si>
    <t xml:space="preserve"> Услуги в целях повышения коммуникативного потенциала получателей социальных услуг, имеющих ограничения жизнедеятельности</t>
  </si>
  <si>
    <t>Обучение навыкам самообслуживания, поведения в быту и общественных местах.</t>
  </si>
  <si>
    <t>Проведение мероприятий по восстановлению личностного и социального статуса, творческой и физкультурно-спортивной реабилитации.</t>
  </si>
  <si>
    <t>Предоставление площади жилых помещений (при размещении в комнате не менее двух человек), оснащенных мебелью и оборудованием, согласно нормативам, утвержденным уполномоченным органом</t>
  </si>
  <si>
    <t>Обеспечение питанием согласно нормам, утвержденным уполномоченным органом, в  том числе:</t>
  </si>
  <si>
    <t xml:space="preserve">- приготовление и подача пищи </t>
  </si>
  <si>
    <t>- простыня</t>
  </si>
  <si>
    <t>- пододеяльник</t>
  </si>
  <si>
    <t>- наволочка</t>
  </si>
  <si>
    <t>- полотенце махровое</t>
  </si>
  <si>
    <t>- полотенце для рук</t>
  </si>
  <si>
    <t>- подушка</t>
  </si>
  <si>
    <t>- одеяло шерстяное</t>
  </si>
  <si>
    <t>- покрывало</t>
  </si>
  <si>
    <t xml:space="preserve">- коврик прикроватный </t>
  </si>
  <si>
    <t xml:space="preserve">Оказание услуг индивидуально-обслуживающего характера (услуги бани (ванны, душа), прачечной; стрижка волос, ногтей), в том числе: </t>
  </si>
  <si>
    <t xml:space="preserve"> - услуга бани (для лежачих)</t>
  </si>
  <si>
    <t>Услуги прачечной</t>
  </si>
  <si>
    <t>Оказание услуг индивидуально-обслуживающего характера получателям социальных услуг, не способным по состоянию здоровья самостоятельно осуществлять за собой уход (помощь в передвижении по комнате и территории организации; помощь при одевании и раздевании; умывание; причесывание; бритье бороды и усов; перестилание постели с заменой постельного белья (пеленки); оказание помощи при пользовании очками или слуховыми аппаратами)</t>
  </si>
  <si>
    <t xml:space="preserve"> - перестилание постели с заменой постельного белья</t>
  </si>
  <si>
    <t xml:space="preserve"> - услуга по бритью бороды, усов</t>
  </si>
  <si>
    <t xml:space="preserve">Оказание услуг гигиенического характера получателям социальных услуг, не способным по состоянию здоровья самостоятельно осуществлять за собой уход (гигиенический уход за телом: обтирание, обмывание; замена абсорбирующего белья; кормление в постели; помощь при пользовании туалетом или судном; осуществление ухода за зубами или зубными протезами), в том числе:  </t>
  </si>
  <si>
    <t xml:space="preserve"> - помощь при пользовании туалетом или судном, включая обработку судна</t>
  </si>
  <si>
    <t>Предоставление транспорта при необходимости доставки получателей социальных услуг в медицинские организации</t>
  </si>
  <si>
    <t xml:space="preserve"> - сопровождение получателя социальных услуг сотрудником при необходимости</t>
  </si>
  <si>
    <t xml:space="preserve">Проведение первичного медицинского осмотра и первичной санитарной обработки                                                               </t>
  </si>
  <si>
    <t xml:space="preserve">Выполнение процедур, связанных с сохранением здоровья (организация приема лекарственных средств по назначению врача, проведение медицинских манипуляций по назначению врача, пользование приборами медицинского назначения), в том числе: </t>
  </si>
  <si>
    <t xml:space="preserve"> - проведение медицинских манипуляций по назначению врача;</t>
  </si>
  <si>
    <t xml:space="preserve"> - оказание помощи в пользовании приборами медицинского назначения.</t>
  </si>
  <si>
    <t xml:space="preserve">Содействие в получении технических средств реабилитации и услуг по реабилитации в соответствии с ИПР инвалида, в том числе:  </t>
  </si>
  <si>
    <t xml:space="preserve"> - сопровождение получателя социальных услуг для получения технических средств реабилитации и услуг по реабилитации либо получение технических средств реабилитации и передача их получателю социальных услуг. </t>
  </si>
  <si>
    <t xml:space="preserve">Содействие в получении протезно-ортопедической помощи в соответствии с ИПР инвалида или медицинским заключением, в том числе:     </t>
  </si>
  <si>
    <t xml:space="preserve"> - сопровождение получателя социальных услуг для получения протезно-ортопедической помощи либо получение протезно-ортопедических изделий и передача их получателю социальных услуг</t>
  </si>
  <si>
    <t xml:space="preserve"> - сбор и подача  документов, необходимых для постановки на учет нуждающихся в протезно-ортопедической помощи;</t>
  </si>
  <si>
    <t>Социально - психологический патронаж</t>
  </si>
  <si>
    <t>Услуги в целях повышения коммуникативного потенциала получателей социальных услуг, имеющих ограничения жизнедеятельности, в том числе детей - инвалидов</t>
  </si>
  <si>
    <r>
      <t xml:space="preserve">Оказание услуг индивидуально-обслуживающего характера (услуги бани (ванны, душа), прачечной, а в отношении несовершеннолетних получателей социальных услуг также стрижка волос, ногтей),                                                                        </t>
    </r>
    <r>
      <rPr>
        <i/>
        <sz val="11"/>
        <color theme="1"/>
        <rFont val="Arial"/>
        <family val="2"/>
        <charset val="204"/>
      </rPr>
      <t>в том числе</t>
    </r>
    <r>
      <rPr>
        <sz val="11"/>
        <color theme="1"/>
        <rFont val="Arial"/>
        <family val="2"/>
        <charset val="204"/>
      </rPr>
      <t>:</t>
    </r>
  </si>
  <si>
    <r>
      <t xml:space="preserve">Организация досуга, в том числе обеспечение книгами, журналами, настольными играми, игрушками и иным необходимым для организации досуга инвентарем и оборудованием,                                                                                                                  </t>
    </r>
    <r>
      <rPr>
        <i/>
        <sz val="11"/>
        <color theme="1"/>
        <rFont val="Arial"/>
        <family val="2"/>
        <charset val="204"/>
      </rPr>
      <t>в том числе</t>
    </r>
    <r>
      <rPr>
        <sz val="11"/>
        <color theme="1"/>
        <rFont val="Arial"/>
        <family val="2"/>
        <charset val="204"/>
      </rPr>
      <t>: проведение разнообразных социокультурных мероприятий в досуговых целях, предоставление по желанию получателя социальных услуг книг, журналов, настольных  игр, игрушек и иного необходимого для организации досуга инвентаря и оборудования</t>
    </r>
  </si>
  <si>
    <r>
      <t xml:space="preserve">Предоставление транспорта при необходимости доставки получателей социальных услуг в медицинские организации, в организации для обучения, участия в культурно-досуговых мероприятиях,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1"/>
        <color theme="1"/>
        <rFont val="Arial"/>
        <family val="2"/>
        <charset val="204"/>
      </rPr>
      <t>в том числе</t>
    </r>
    <r>
      <rPr>
        <sz val="11"/>
        <color theme="1"/>
        <rFont val="Arial"/>
        <family val="2"/>
        <charset val="204"/>
      </rPr>
      <t>: предоставление транспорта для доставки (туда и обратно), сопровождение работником учреждения</t>
    </r>
  </si>
  <si>
    <r>
      <t>Оказание помощи в написании и прочтении писем, отправка за счет получателя социальных услуг почтовой корреспонденции,</t>
    </r>
    <r>
      <rPr>
        <i/>
        <sz val="11"/>
        <color theme="1"/>
        <rFont val="Arial"/>
        <family val="2"/>
        <charset val="204"/>
      </rPr>
      <t xml:space="preserve"> в том числе:</t>
    </r>
    <r>
      <rPr>
        <sz val="11"/>
        <color theme="1"/>
        <rFont val="Arial"/>
        <family val="2"/>
        <charset val="204"/>
      </rPr>
      <t xml:space="preserve"> написание писем личного характера под диктовку; прочтение писем, телеграмм вслух; отправку писем путем их доставки на почту или в почтовый ящик; набор текста электронного письма под диктовку и отправка его по электронной почте.</t>
    </r>
  </si>
  <si>
    <r>
      <t xml:space="preserve">Содействие в проведении медико-социальной экспертизы, </t>
    </r>
    <r>
      <rPr>
        <i/>
        <sz val="11"/>
        <color theme="1"/>
        <rFont val="Arial"/>
        <family val="2"/>
        <charset val="204"/>
      </rPr>
      <t>в том числе</t>
    </r>
    <r>
      <rPr>
        <sz val="11"/>
        <color theme="1"/>
        <rFont val="Arial"/>
        <family val="2"/>
        <charset val="204"/>
      </rPr>
      <t>: организация обследования получателя социальных услуг врачами-специалистами, сбор и представление в Управление документов, необходимых для оформления направления на медико-социальную экспертизу, сбор и представление в бюро медико-социальной экспертизы документов, необходимых для признания получателя социальных услуг инвалидом, доставка гражданина в  бюро медико-социальной экспертизы и обратно транспортом получателя социальных услуг либо приглашение экспертов в организацию социального обслуживания, сопровождение получателя социальных услуг (при необходимости), получение документов подготовленных бюро медико-социальной экспертизы и передача их получателю социальных услуг</t>
    </r>
  </si>
  <si>
    <r>
      <t xml:space="preserve">Выполнение процедур, связанных с сохранением здоровья (организация приема лекарственных средств по назначению врача, проведение медицинских манипуляций по назначению врача, пользование приборами медицинского назначения), </t>
    </r>
    <r>
      <rPr>
        <i/>
        <sz val="11"/>
        <color theme="1"/>
        <rFont val="Arial"/>
        <family val="2"/>
        <charset val="204"/>
      </rPr>
      <t>в том числе</t>
    </r>
    <r>
      <rPr>
        <sz val="11"/>
        <color theme="1"/>
        <rFont val="Arial"/>
        <family val="2"/>
        <charset val="204"/>
      </rPr>
      <t>: организация приема лекарственных средств по назначению врача, проведение медицинских манипуляций, пользование приборами медицинского назначения</t>
    </r>
  </si>
  <si>
    <r>
      <t xml:space="preserve">Проведение лечебно-оздоровительных мероприятий, </t>
    </r>
    <r>
      <rPr>
        <i/>
        <sz val="11"/>
        <color theme="1"/>
        <rFont val="Arial"/>
        <family val="2"/>
        <charset val="204"/>
      </rPr>
      <t xml:space="preserve">в том числе: </t>
    </r>
    <r>
      <rPr>
        <sz val="11"/>
        <color theme="1"/>
        <rFont val="Arial"/>
        <family val="2"/>
        <charset val="204"/>
      </rPr>
      <t>прогулки на свежем воздухе, индивидуальные или групповые занятия физкультурой (в том числе лечебной и адаптивной), оздоровительной гимнастикой, спортом, мероприятия направленные на профилактику возникновения и обострения хронических и инфекционных заболеваний</t>
    </r>
  </si>
  <si>
    <r>
      <t>Сопровождение несовершеннолетних получателей социальных услуг, нуждающихся в специализированной медицинской помощи, на обследование и лечение в</t>
    </r>
    <r>
      <rPr>
        <b/>
        <sz val="11"/>
        <color theme="1"/>
        <rFont val="Arial"/>
        <family val="2"/>
        <charset val="204"/>
      </rPr>
      <t xml:space="preserve"> </t>
    </r>
    <r>
      <rPr>
        <sz val="11"/>
        <color theme="1"/>
        <rFont val="Arial"/>
        <family val="2"/>
        <charset val="204"/>
      </rPr>
      <t xml:space="preserve">медицинские организации, </t>
    </r>
    <r>
      <rPr>
        <i/>
        <sz val="11"/>
        <color theme="1"/>
        <rFont val="Arial"/>
        <family val="2"/>
        <charset val="204"/>
      </rPr>
      <t>в том числе:</t>
    </r>
    <r>
      <rPr>
        <sz val="11"/>
        <color theme="1"/>
        <rFont val="Arial"/>
        <family val="2"/>
        <charset val="204"/>
      </rPr>
      <t xml:space="preserve"> до медицинской организации, в медицинской организации, обратно до социальной организации.</t>
    </r>
  </si>
  <si>
    <r>
      <t xml:space="preserve">Содействие в госпитализации нуждающихся получателей социальных услуг в медицинские организации, </t>
    </r>
    <r>
      <rPr>
        <i/>
        <sz val="11"/>
        <color theme="1"/>
        <rFont val="Arial"/>
        <family val="2"/>
        <charset val="204"/>
      </rPr>
      <t>в том числе</t>
    </r>
    <r>
      <rPr>
        <sz val="11"/>
        <color theme="1"/>
        <rFont val="Arial"/>
        <family val="2"/>
        <charset val="204"/>
      </rPr>
      <t>: вызов работника медицинской организации либо согласование с медицинской организацией даты госпитализации, сопровождение медицинским работником поставщика  социальных услуг получателя социальных услуг в медицинскую организацию, предоставление транспорта для доставки в медицинскую организацию при плановой госпитализации, сбор необходимых документов и вещей получателя социальных услуг</t>
    </r>
  </si>
  <si>
    <r>
      <t xml:space="preserve">Психологическая диагностика и обследование личности, </t>
    </r>
    <r>
      <rPr>
        <i/>
        <sz val="12"/>
        <color theme="1"/>
        <rFont val="Arial"/>
        <family val="2"/>
        <charset val="204"/>
      </rPr>
      <t>в том числе:</t>
    </r>
    <r>
      <rPr>
        <sz val="12"/>
        <color theme="1"/>
        <rFont val="Arial"/>
        <family val="2"/>
        <charset val="204"/>
      </rPr>
      <t xml:space="preserve"> выявление и анализ психического состояния и индивидуальных особенностей личности получателя социальных услуг, составление прогноза и разработку рекомендаций по проведени коррекционных мероприятий</t>
    </r>
  </si>
  <si>
    <t>Этого нет в стационаре</t>
  </si>
  <si>
    <r>
      <t>Предоставление транспорта при необходимости доставки получателей социальных услуг в медицинские организации, в организации для обучения, участия в культурно-досуговых мероприятиях,</t>
    </r>
    <r>
      <rPr>
        <i/>
        <sz val="11"/>
        <color theme="1"/>
        <rFont val="Arial"/>
        <family val="2"/>
        <charset val="204"/>
      </rPr>
      <t xml:space="preserve"> в том числе</t>
    </r>
    <r>
      <rPr>
        <sz val="11"/>
        <color theme="1"/>
        <rFont val="Arial"/>
        <family val="2"/>
        <charset val="204"/>
      </rPr>
      <t xml:space="preserve">: предоставление транспорта для доставки (туда и обратно), сопровождение работником учреждения                                                                                                                                                                                             </t>
    </r>
  </si>
  <si>
    <r>
      <t xml:space="preserve">Проведение оздоровительных мероприятий, в том числе направленных на профилактику обострений хронических и предупреждение инфекционных заболеваний, </t>
    </r>
    <r>
      <rPr>
        <i/>
        <sz val="11"/>
        <color theme="1"/>
        <rFont val="Arial"/>
        <family val="2"/>
        <charset val="204"/>
      </rPr>
      <t xml:space="preserve">в том числе: </t>
    </r>
    <r>
      <rPr>
        <sz val="11"/>
        <color theme="1"/>
        <rFont val="Arial"/>
        <family val="2"/>
        <charset val="204"/>
      </rPr>
      <t>прогулки на свежем воздухе, индивидуальные или групповые занятия физкультурой (в том числе лечебной и адаптивной), оздоровительной гимнастикой, спортом, мероприятия, направленные на профилактику возникновения и обострения хронических и инфекционных заболеваний</t>
    </r>
  </si>
  <si>
    <r>
      <t xml:space="preserve">Услуги по защите прав и законных интересов получателей социальных услуг в установленном законодательством порядке, </t>
    </r>
    <r>
      <rPr>
        <i/>
        <sz val="11"/>
        <rFont val="Arial"/>
        <family val="2"/>
        <charset val="204"/>
      </rPr>
      <t>в том числе:</t>
    </r>
    <r>
      <rPr>
        <sz val="11"/>
        <rFont val="Arial"/>
        <family val="2"/>
        <charset val="204"/>
      </rPr>
      <t xml:space="preserve"> консультирование по интересующим получателя социальных услуг вопросам, содействие в подготовке и направлении в соответствующие органы, организации,  заявлений и документов, личное обращение сотрудника поставщика социальных услуг в интересах получателя социальных услуг в органы (в том числе судебные органы), осуществление контроля за ходом и результатами рассмотрения документов, поданных в органы, организации</t>
    </r>
  </si>
  <si>
    <t>Психологическая диагностика и обследование личности (за исключением инвалидов пенсионного возраста).</t>
  </si>
  <si>
    <t>Социально-психологический патронаж (за исключением инвалидов пенсионного возраста).</t>
  </si>
  <si>
    <t>Социально-педагогический патронаж (за исключением инвалидов пенсионного возраста).</t>
  </si>
  <si>
    <t>Оказание помощи в получении образования и (или) квалификации инвалидами (детьми-инвалидами) в соответствии с их способностями согласно индивидуальной программе реабилитации инвалида (за исключением инвалидов пенсионного возраста).</t>
  </si>
  <si>
    <t>Оказание инвалидам помощи в трудоустройстве (за исключением детей-инвалидов, инвалидов пенсионного возраста).</t>
  </si>
  <si>
    <t>1  услуга</t>
  </si>
  <si>
    <t>4. Услуги в целях повышения коммуникативного потенциала получателей социальных услуг, имеющих ограничения жизнедеятельности, в том числе детей-инвалидов</t>
  </si>
  <si>
    <t xml:space="preserve">Социально-педагогическая помощь, включая диагностику, консультирование и коррекцию, в том числе: </t>
  </si>
  <si>
    <t>Подготовка несовершеннолетних получателей социальных услуг к самостоятельной жизни</t>
  </si>
  <si>
    <r>
      <t>Психологическая диагностика и обследование личности,</t>
    </r>
    <r>
      <rPr>
        <i/>
        <sz val="11"/>
        <rFont val="Arial"/>
        <family val="2"/>
        <charset val="204"/>
      </rPr>
      <t xml:space="preserve"> в том числе:</t>
    </r>
    <r>
      <rPr>
        <sz val="11"/>
        <rFont val="Arial"/>
        <family val="2"/>
        <charset val="204"/>
      </rPr>
      <t xml:space="preserve"> выявление и анализ психического состояния и индивидуальных особенностей личности получателя социальных услуг, составление прогноза и разработку рекомендаций по проведению коррекционных мероприятий</t>
    </r>
  </si>
  <si>
    <t>1. Социальные услуги несовершеннолетним в полустационарной форме</t>
  </si>
  <si>
    <t>Предоставление площади жилых помещений   (при размещении в комнате не менее двух человек), оснащенных мебелью, оборудованием, инвентарем согласно нормативам, утвержденным уполномоченным органом. (для специального дома- интерната для престарелых и инвалидов)</t>
  </si>
  <si>
    <t>Это отнесли в услугу "Предоставление площади…"</t>
  </si>
  <si>
    <t>в день,в соответствии с потребностью получателя услуг</t>
  </si>
  <si>
    <t>в день, в соответствии с потребностью получателя услуг</t>
  </si>
  <si>
    <t>- предоставление транспорта для доставки в медицинскую организацию</t>
  </si>
  <si>
    <t>- доставка гражданина в  бюро медико-социальной экспертизы и обратно транспортом учреждения либо приглашение экспертов в организацию социального обслуживания;</t>
  </si>
  <si>
    <t xml:space="preserve"> - доставка получателя социальных услуг к месту нахождения медицинской организации, предоставляющей стоматологическу помощь и обратно транспортом поставщика социальных услуг</t>
  </si>
  <si>
    <t xml:space="preserve"> -доставка получателя социальных услуг к месту нахождения медицинской организации и обратно транспортом поставщика социальных услуг</t>
  </si>
  <si>
    <t xml:space="preserve"> - сопровождение получателя социальных услуг</t>
  </si>
  <si>
    <t>Социально-трудовые  услуги</t>
  </si>
  <si>
    <t>Создание условий для использования остаточных трудовых возможностей получателей социальных услуг</t>
  </si>
  <si>
    <t>Содействие в организации лечебно-трудовой деятельности инвалидов в соответствии с ИПР инвалида</t>
  </si>
  <si>
    <t>Организация помощи в получении образования и (или) квалификации инвалидами в соответствии с их способностями согласно ИПР инвалида</t>
  </si>
  <si>
    <t>2. Услуги по реабилитации детей-инвалидов, детей от 0 до 3 лет с ограниченными возможностями здоровья.</t>
  </si>
  <si>
    <t>Проведение занятий, направленных на развитие коммуникативных, двигательных навыков, навыков повседневной деятельности (самообслуживание, игра, персональная сохранность, поведение), продуктивности деятельности, творческих способностей (в отношении детей от 0 до 3 лет с отклонениями в развитии и здоровье).</t>
  </si>
  <si>
    <t>3. Услуги по реабилитации инвалидов старше 18 лет</t>
  </si>
  <si>
    <t>Обучение членов семьи инвалида основам социально-педагогической реабилитации в домашних условиях</t>
  </si>
  <si>
    <t>Выявление признаков, характеризующих нормальное или отклоняющееся поведение получателя социальных услуг, в том числе изучение его склонностей и потенциала, установление форм и степени социальной дезадаптации (при ее наличии);  определение комплекса мероприятий по социально-педагогическому консультированию и  коррекции; осуществление мероприятий по социально-педагогическому консультированию и  коррекции путем проведения индивидуальных или групповых занятий</t>
  </si>
  <si>
    <t xml:space="preserve"> - подметание ковров, дорожек </t>
  </si>
  <si>
    <t xml:space="preserve"> - чистка пылесосом ковров, дорожек</t>
  </si>
  <si>
    <t>Топка печей для получателей социальных услуг, проживающих в жилых помещениях с печным отоплением</t>
  </si>
  <si>
    <t>на 1 чел. в месяц</t>
  </si>
  <si>
    <t>Обеспечение мягким инвентарем  согласно нормативам, утвержденным уполномоченным органом:</t>
  </si>
  <si>
    <t xml:space="preserve">  - сбор и подача  документов, необходимых для постановки на учет нуждающихся в предоставлении технических средств реабилитации и услуг по реабилитации;</t>
  </si>
  <si>
    <t xml:space="preserve"> Систематическое наблюдение за получателями социальных услуг для выявления отклонений в состоянии их здоровья (измерение температуры тела, измерение артериального давления)</t>
  </si>
  <si>
    <t>Содействие в проведении медико-социальной экспертизы:</t>
  </si>
  <si>
    <t xml:space="preserve"> - доставка гражданина в  бюро медико-социальной экспертизы и обратно транспортом учреждения либо приглашение экспертов в организацию социального обслуживания</t>
  </si>
  <si>
    <t>- доставка получателя социальных услуг к месту нахождения медицинской организации, предоставляющей стоматологическую помощь и обратно транспортом поставщика социальных услуг;</t>
  </si>
  <si>
    <t>- сопровождение получателя социальных услуг</t>
  </si>
  <si>
    <t>Обучение навыкам самообслуживания, персональной сохранности, поведения в быту и общественных местах, передвижения, ориентации, навыкам общения, самоконтроля</t>
  </si>
  <si>
    <t>Содействие в госпитализации нуждающихся получателей социальных услуг в медицинские организации, в том числе:</t>
  </si>
  <si>
    <t xml:space="preserve">  - сопровождение медицинским работником поставщика  социальных услуг получателя социальных услуг в медицинскую организацию;</t>
  </si>
  <si>
    <t xml:space="preserve"> - предоставление транспорта для доставки в медицинскую организацию при плановой госпитализации;</t>
  </si>
  <si>
    <t>Содействие в обеспечении по заключению врачей лекарственными препаратами для медицинского применения и медицинскими изделиями</t>
  </si>
  <si>
    <t>Организация помощи в получении профессионального образования и (или) квалификации инвалидами (детьми - инвалидами) в соответствии с их способностями согласно ИПР инвалида</t>
  </si>
  <si>
    <t>2 ед.</t>
  </si>
  <si>
    <t>- одеяло байковое</t>
  </si>
  <si>
    <t>"Перенесла в предостваление площади…"</t>
  </si>
  <si>
    <t xml:space="preserve"> - услуги ванны,душа</t>
  </si>
  <si>
    <t xml:space="preserve"> - услуги  ванны,душа (для лежачих)</t>
  </si>
  <si>
    <t>в день</t>
  </si>
  <si>
    <t xml:space="preserve"> - проведение медицинских манипуляций по назначению врача(подкожные, внутримышечные, внутривенные инъекции, обработка раневых поверхностей, выполнение очистительных клизм, перевязки, забор материалов для проведения исследований, закапывание капель);</t>
  </si>
  <si>
    <t>в месяц</t>
  </si>
  <si>
    <t xml:space="preserve">Предоставление в пользование мебели, в том числе: </t>
  </si>
  <si>
    <t xml:space="preserve"> - Продукты питания, включая диетическое питание (для несовершеннолетних)</t>
  </si>
  <si>
    <t xml:space="preserve"> - Продукты питания, включая диетическое питание (для инвалидов молодого возраста)</t>
  </si>
  <si>
    <t xml:space="preserve"> - Приготовление и подача пищи </t>
  </si>
  <si>
    <t xml:space="preserve"> -головные уборы и галантерейные изделия</t>
  </si>
  <si>
    <t>Перенесла в "Предоставление площади"</t>
  </si>
  <si>
    <t>Оказание услуг индивидуально-обслуживающего характера (услуги бани (ванны, душа), прачечной, стрижка волос, ногтей, бритье бороды и усов), в том числе:</t>
  </si>
  <si>
    <t xml:space="preserve"> - услуга бани </t>
  </si>
  <si>
    <t xml:space="preserve"> - услуга ванны, душа</t>
  </si>
  <si>
    <t xml:space="preserve"> - услуга ванны, душа  (для лежачих)</t>
  </si>
  <si>
    <t xml:space="preserve"> - услуга по бритью бороды и усов </t>
  </si>
  <si>
    <t xml:space="preserve"> - услуга прачечной, в том числе:  стирка белья в машине, глажение белья автоматическим прессом </t>
  </si>
  <si>
    <t>2 услуга</t>
  </si>
  <si>
    <t xml:space="preserve">Ремонт одежды получателей социальных услуг </t>
  </si>
  <si>
    <t>Оказание услуг индивидуально-обслуживающего характера получателям социальных услуг, не способным по состоянию здоровья самостоятельно осуществлять за собой уход  (помощь в передвижении; помощь при одевании и раздевании; умывание; причесывание; перестилание постели с заменой постельного белья (пеленки); оказание помощи при пользовании очками или слуховыми аппаратами), в том числе:</t>
  </si>
  <si>
    <t xml:space="preserve"> - помощь в передвижении по комнате и территории организации </t>
  </si>
  <si>
    <t xml:space="preserve">- умывание, причесывание  </t>
  </si>
  <si>
    <t>Оказание услуг гигиенического характера получателям социальных услуг, не способным по состоянию здоровья самостоятельно осуществлять за собой уход (гигиенический уход за телом: обтирание, обмывание; замена абсорбирующего белья; кормление в постели; помощь при пользовании туалетом или судном; осуществление ухода за зубами или зубными протезами), в том числе:</t>
  </si>
  <si>
    <t xml:space="preserve"> - обтирание, обмывание </t>
  </si>
  <si>
    <t xml:space="preserve"> - кормление в постели </t>
  </si>
  <si>
    <t xml:space="preserve"> - кормление в постели ( кормление через зонд) </t>
  </si>
  <si>
    <t xml:space="preserve">Уборка жилых помещений                                       </t>
  </si>
  <si>
    <t>Организация досуга, в том числе обеспечение книгами, журналами, настольными играми, игрушками и иным необходимым для организации досуга инвентарем и оборудованием</t>
  </si>
  <si>
    <t xml:space="preserve"> - лечение наиболее распространенных болезней, а также травм, отравлений и других неотложных состояний</t>
  </si>
  <si>
    <t xml:space="preserve"> в месяц в соответствии с медицинским назначением</t>
  </si>
  <si>
    <t xml:space="preserve"> - медицинская профилактика важнейших заболеваний, в том числе профилактика пролежней; </t>
  </si>
  <si>
    <t xml:space="preserve"> -  санитарно-гигиеническое просвещение получателя социальных услуг</t>
  </si>
  <si>
    <t xml:space="preserve"> - организация приема лекарственных средств по назначению врача, в том числе контроль за соблюдением предписаний врача, связанных со временем приема, частотой приема, способом приема и сроком годности лекарств</t>
  </si>
  <si>
    <t xml:space="preserve"> - оказание помощи в пользовании приборами медицинского назначения</t>
  </si>
  <si>
    <t>Содействие в получении бесплатной медицинской помощи в объеме базовой программы обязательного медицинского страхования граждан Российской Федерации</t>
  </si>
  <si>
    <t xml:space="preserve"> - предоставление транспорта для доставки в медицинскую организацию при плановой госпитализации; </t>
  </si>
  <si>
    <t xml:space="preserve"> - доставка гражданина в  бюро медико-социальной экспертизы и обратно транспортом учреждения, либо приглашение экспертов в организацию социального обслуживания</t>
  </si>
  <si>
    <t xml:space="preserve"> - сопровождение получателя социальных услуг </t>
  </si>
  <si>
    <t>Содействие в проведении психолого-медико-педагогической комиссии</t>
  </si>
  <si>
    <t xml:space="preserve"> - доставка получателя социальных услуг  к месту нахождения   ПМПК и обратно транспортом получателя социальных услуг, либо приглашение экспертов в организацию социального обслуживания;</t>
  </si>
  <si>
    <t xml:space="preserve"> - сопровождение получателя социальных услуг сотрудником поставщика социальных услуг, получение документов подготовленных ПМПК </t>
  </si>
  <si>
    <t xml:space="preserve"> - доставка получателя социальных услуг к месту нахождения медицинской организации, предоставляющей стоматологическую помощь и обратно транспортом учреждения;</t>
  </si>
  <si>
    <t xml:space="preserve">Содействие в получении протезно-ортопедической помощи в соответствии с ИПР или медицинским заключением, в том числе:   </t>
  </si>
  <si>
    <t xml:space="preserve"> - сопровождение получателя социальных услуг для получения протезно-ортопедической помощи либо получение протезно-ортопедических изделий и передача их получателю социальных услуг.</t>
  </si>
  <si>
    <t xml:space="preserve">Содействие в получении технических средств реабилитации и услуг по реабилитации в соответствии с ИПР, в том числе: </t>
  </si>
  <si>
    <t xml:space="preserve"> - сбор и подача   документов, необходимых для постановки на учет нуждающихся в предоставлении технических средств реабилитации и услуг по реабилитации;</t>
  </si>
  <si>
    <t xml:space="preserve"> - сопровождение получателя социальных услуг для получения технических средств реабилитации и услуг по реабилитации либо  получение технических средств реабилитации и передача их получателю социальных услуг</t>
  </si>
  <si>
    <t xml:space="preserve">Подготовка и содействие в прохождении диспансеризации, организация выполнения рекомендаций врачей по итогам диспансеризации, в том числе: </t>
  </si>
  <si>
    <t xml:space="preserve">  - сбор и передача в медицинскую организацию документов, необходимых для проведения диспансеризации;</t>
  </si>
  <si>
    <t xml:space="preserve"> - доставка получателя социальных услуг к месту нахождения медицинской организации и обратно транспортом учреждения;</t>
  </si>
  <si>
    <t>Проведение лечебно-оздоровительных мероприятий в соответствии с индивидуальной программой реабилитации инвалида</t>
  </si>
  <si>
    <t xml:space="preserve"> -  занятия физкультурой (в том числе лечебной и адаптивной), оздоровительной гимнастикой, спортом в соответствии с индивидуальной программой реабилитации инвалида;</t>
  </si>
  <si>
    <t xml:space="preserve"> - мероприятия направленные  на профилактику возникновения и обострения хронических и инфекционных заболеваний по медицинскому назначению. </t>
  </si>
  <si>
    <t xml:space="preserve">   -  массаж ;</t>
  </si>
  <si>
    <t xml:space="preserve">   -  физиолечение; </t>
  </si>
  <si>
    <t xml:space="preserve">   - эрготерапия;</t>
  </si>
  <si>
    <t xml:space="preserve">    - кинезотерапия</t>
  </si>
  <si>
    <t xml:space="preserve">    - логопедические занятия</t>
  </si>
  <si>
    <t xml:space="preserve"> - прогулки на свежем воздухе;</t>
  </si>
  <si>
    <t xml:space="preserve">1 мин </t>
  </si>
  <si>
    <t xml:space="preserve">Оказание психологической помощи и поддержки, в том числе проведение психокоррекционной работы </t>
  </si>
  <si>
    <t>Обучение детей-инвалидов и членов их семей пользованию техническими средствами реабилитации</t>
  </si>
  <si>
    <t xml:space="preserve">Создание специальных условий для получения детьми-инвалидами образования по адаптированным основным общеобразовательным </t>
  </si>
  <si>
    <t xml:space="preserve"> - доставка и сопровождение ребенка-инвалида к месту нахождения образовательной организации и обратно </t>
  </si>
  <si>
    <t>Организация получения образования детьми-инвалидами с учетом их физических возможностей и умственных способностей в соответствии с  индивидуальной программой реабилитации инвалида и заключением ПМПК</t>
  </si>
  <si>
    <t xml:space="preserve">Создание условий для дошкольного воспитания детей-инвалидов  и получения образования по адаптированным образовательным программам с учетом их физических возможностей и умственных способностей  в соответствии с индивидуальной программой реабилитации инвалида и заключением ПМПК (услуга включает организацию кружковой работы) </t>
  </si>
  <si>
    <t>Содействие в организации лечебно-трудовой деятельности детей-инвалидов в соответствии с ИПР</t>
  </si>
  <si>
    <t>Организация помощи в получении образования и (или) квалификации детьми-инвалидами в соответствии с их способностями согласно ИПР и заключением ПМПК</t>
  </si>
  <si>
    <t xml:space="preserve">Услуги по защите прав и законных интересов получателей социальных услуг в установленном законодательством порядке (в том числе оказание помощи детям-инвалидам из числа детей-сирот и детей, оставшихся без попечения родителей, в реализации ими права на получение жилья при условии, если индивидуальная программа реабилитации инвалида предусматривает возможность осуществлять им самообслуживание и вести самостоятельный образ жизни)
</t>
  </si>
  <si>
    <t>Обучение навыкам самообслуживания, персональной сохранности, поведения в быту и общественных местах, передвижению, ориентации, навыкам общения, самоконтролю, методам реабилитации</t>
  </si>
  <si>
    <t>Оказание помощи в обучении навыкам работы на компьютере</t>
  </si>
  <si>
    <r>
      <t xml:space="preserve">Содействие в получении бесплатной медицинской помощи в объеме базовой программы обязательного медицинского страхования граждан Российской Федерации, целевых программ и территориальных программ обязательного медицинского страхования в медицинских организациях, </t>
    </r>
    <r>
      <rPr>
        <i/>
        <sz val="11"/>
        <rFont val="Arial"/>
        <family val="2"/>
        <charset val="204"/>
      </rPr>
      <t>в том числе:</t>
    </r>
    <r>
      <rPr>
        <sz val="11"/>
        <rFont val="Arial"/>
        <family val="2"/>
        <charset val="204"/>
      </rPr>
      <t xml:space="preserve"> запись на прием к врачу, сбор необходимых документов, предоставление при необходимости транспорта и сопровождения</t>
    </r>
  </si>
  <si>
    <t>Уровень тарифов, руб.</t>
  </si>
  <si>
    <t xml:space="preserve">в соответствии с установленным поставщиком социальных услуг режимом питания и потребностью получателя  услуг </t>
  </si>
  <si>
    <t xml:space="preserve">в день </t>
  </si>
  <si>
    <t xml:space="preserve">в месяц, в соответствии с медицинским назначением </t>
  </si>
  <si>
    <t xml:space="preserve">в день, в соответствии с медицинским назначением </t>
  </si>
  <si>
    <t>в день, в соответствии с медицинским назначением и потребностью получателя услуг</t>
  </si>
  <si>
    <t xml:space="preserve">в день, в соответствии с потребностью получателя услуг, либо с медицинским  назначением </t>
  </si>
  <si>
    <t>на 1 человека в месяц</t>
  </si>
  <si>
    <t>Предоставление транспорта при необходимости доставки получателей социальных услуг в медицинские организации, организации для обучения, участия в культурно-досуговых мероприятиях</t>
  </si>
  <si>
    <t>Обеспечение получателей социальных услуг при выписке из организации социального обслуживания одеждой и обувью по сезону (при отсутствии личной одежды и обуви)</t>
  </si>
  <si>
    <t xml:space="preserve"> в день  в соответствии с медицинским назначением</t>
  </si>
  <si>
    <t xml:space="preserve"> в день в соответствии с медицинским назначением и с потребностью получателя услуг </t>
  </si>
  <si>
    <t xml:space="preserve"> в день в соответствии с медицинским назначением</t>
  </si>
  <si>
    <t>при выписке из учреждения  1 ед. верхней пальтовой группы (по сезону), 1 пара обуви по сезону, 1 головной убор по сезону. Для мальчиков: трусы,  трико, (по сезону), майка, носки, брюки, сорочка. Для девочек: трусы, сорочка нижняя, колготки, бюстгальтер (при необходимости), платье либо юбка с блузкой.</t>
  </si>
  <si>
    <t xml:space="preserve">- предоставление в пользование мебели, в том числе: </t>
  </si>
  <si>
    <t xml:space="preserve">стол обеденный </t>
  </si>
  <si>
    <t xml:space="preserve">вешалка настенная </t>
  </si>
  <si>
    <t xml:space="preserve">контейнер для мусора </t>
  </si>
  <si>
    <t>Постельные принадлежности</t>
  </si>
  <si>
    <t xml:space="preserve"> - услуга ванны, душа (для лежачих)</t>
  </si>
  <si>
    <t>в день, в соответствии с медицинским назначением</t>
  </si>
  <si>
    <t>в день, в соответствии с потребностью получателя социальных услуг либо с медицинским назначением</t>
  </si>
  <si>
    <t>Продукты питания, включая диетическое питание (для психоневрорлогических домов- интернатов)</t>
  </si>
  <si>
    <t>Содействие в получении технических средств реабилитации, протезно-ортопедической  помощи :</t>
  </si>
  <si>
    <t xml:space="preserve"> - сбор и подача документов, необходимых для постановки на учет нуждающихся в предоставлении технических средств реабилитации, протезно-ортопедической помощи</t>
  </si>
  <si>
    <t>в день, в соответствии с установленным поставщиком соц. услуг режимом питания</t>
  </si>
  <si>
    <t>- продукты питания, включая диетическое питание</t>
  </si>
  <si>
    <t xml:space="preserve"> - постельные принадлежности</t>
  </si>
  <si>
    <t>Предоставление жилой площади  3,5 кв.м</t>
  </si>
  <si>
    <t>Шкаф</t>
  </si>
  <si>
    <t>Светильник</t>
  </si>
  <si>
    <t>Шторы</t>
  </si>
  <si>
    <t>Карниз</t>
  </si>
  <si>
    <t>Предоставление площади 5 кв.м</t>
  </si>
  <si>
    <t>Коврик прикроватный</t>
  </si>
  <si>
    <t>Предоставление площади 4 кв.м</t>
  </si>
  <si>
    <t>Полка в шкафу</t>
  </si>
  <si>
    <t>Кровать с матрасцем полужестким</t>
  </si>
  <si>
    <t>светильник</t>
  </si>
  <si>
    <t>шторы</t>
  </si>
  <si>
    <t>карниз</t>
  </si>
  <si>
    <t>коврик настенный</t>
  </si>
  <si>
    <t>Предоставление площади 4,5 кв.м</t>
  </si>
  <si>
    <t>к приказу Департамента</t>
  </si>
  <si>
    <t xml:space="preserve">вдень, в соответствии с медицинским назначением </t>
  </si>
  <si>
    <t>1 час</t>
  </si>
  <si>
    <t>Обеспечение кратковременного присмотра за детьми (в городе)</t>
  </si>
  <si>
    <t>Обеспечение кратковременного присмотра за детьми (в сельской местности)</t>
  </si>
  <si>
    <t>1 комплект нательного белья, не более 4 единиц верхней одежды, 1 пары обуви, 1 головного убора</t>
  </si>
  <si>
    <t xml:space="preserve">Приложение </t>
  </si>
  <si>
    <t>1. Социальные услуги в форме социального обслуживания на дому, входящие в перечень социальных услуг, предоставляемых поставщиками социальных услуг.</t>
  </si>
  <si>
    <t>2. Социальные услуги в полустационарной форме социального обслуживания, входящие в перечень социальных услуг, предоставляемых поставщиками социальных услуг.</t>
  </si>
  <si>
    <t>3. Социальные услуги в стационарной форме социального обслуживания, входящие в перечень социальных услуг, предоставляемых поставщиками социальных услуг.</t>
  </si>
  <si>
    <t>4. Социальные услуги, предоставляемые получателям социальных услуг в полустационарной форме социального обслуживания центрами социальной помощи лицам без определенного места жительства и лицам, освободившимся из исправительных учреждений территориальных органов ФСИН России</t>
  </si>
  <si>
    <t>3.1. Предоставляемые в стационарной форме домами-интернатами для престарелых и инвалидов, пансионатами для ветеранов войны и труда, геронтологическими центрами, психоневрологическими интернатами, специальными домами-интернатами для престарелых и инвалидов и другими юридическими лицами независимо от их организационно- правовой формы и (или) индивидуальными предпринимателями, осуществляющими деятельность, аналогичную деятельности указанной организации</t>
  </si>
  <si>
    <t xml:space="preserve">3.2. Предоставляемые в стационарной форме детскими психоневрологическими домами-интернатами  и другими лицами независимо от их организационно- правовой формы и (или) индивидуальными предпринимателями,осуществляющими деятельность, аналогичную деятельности указанной организации
</t>
  </si>
  <si>
    <t xml:space="preserve">3.3 Предоставляемые в стационарной форме социального обслуживания социально-реабилитационными центрами для несовершеннолетних, центрами социальной помощи семье и детям и другими юридическими лицами независимо от их организационно-правовой формы и (или) индивидуальными предпринимателями, осуществляющими деятельность, аналогичную деятельности указанных организаций
</t>
  </si>
  <si>
    <t>3.3.1. Несовершеннолетним, признанным нуждающимися в социальном обслуживании в связи с наличием у них следующих обстоятельств, ухудшающих или способных ухудшить условия жизнедеятельности</t>
  </si>
  <si>
    <t>3.3.2. Женщинам, признанным нуждающимися в социальном обслуживании в связи с наличием у них следующих обстоятельств, ухудшающих или способных ухудшить условия жизнедеятельности</t>
  </si>
  <si>
    <t>3.4.  Предоставляемые получателям социальных услуг в стационарной форме социального обслуживания центрами (комплексными центрами) социального обслуживания населения и другими юридическими лицами независимо от их организационно-правовой формы и (или) индивидуальными предпринимателями, осуществляющими деятельность, аналогичную деятельности указанной организации</t>
  </si>
  <si>
    <t xml:space="preserve"> Тарифы на социальные услуги, предоставляемые получателям социальные услуг, на основании подушевых нормативов финансирования социальных услуг</t>
  </si>
  <si>
    <t xml:space="preserve">Приложение 2 </t>
  </si>
  <si>
    <t xml:space="preserve">от 30.12.2016 № 680-п (в ред. приказа от 29.02.2016 №45-п)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</si>
</sst>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2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Calibri"/>
      <family val="2"/>
      <charset val="204"/>
    </font>
    <font>
      <sz val="10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8"/>
      <name val="Arial"/>
      <family val="2"/>
      <charset val="204"/>
    </font>
    <font>
      <b/>
      <sz val="8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name val="Calibri"/>
      <family val="2"/>
      <charset val="204"/>
    </font>
    <font>
      <sz val="8"/>
      <name val="Calibri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i/>
      <sz val="11"/>
      <color indexed="8"/>
      <name val="Calibri"/>
      <family val="2"/>
      <charset val="204"/>
    </font>
    <font>
      <i/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indexed="8"/>
      <name val="Arial"/>
      <family val="2"/>
      <charset val="204"/>
    </font>
    <font>
      <sz val="12"/>
      <color theme="1"/>
      <name val="Arial"/>
      <family val="2"/>
      <charset val="204"/>
    </font>
    <font>
      <sz val="9"/>
      <name val="Arial"/>
      <family val="2"/>
      <charset val="204"/>
    </font>
    <font>
      <b/>
      <sz val="8"/>
      <name val="Arial"/>
      <family val="2"/>
      <charset val="204"/>
    </font>
    <font>
      <sz val="12"/>
      <color rgb="FFFF0000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color rgb="FFFF0000"/>
      <name val="Arial"/>
      <family val="2"/>
      <charset val="204"/>
    </font>
    <font>
      <i/>
      <sz val="12"/>
      <color indexed="8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1"/>
      <name val="Arial"/>
      <family val="2"/>
      <charset val="204"/>
    </font>
    <font>
      <i/>
      <sz val="11"/>
      <name val="Arial"/>
      <family val="2"/>
      <charset val="204"/>
    </font>
    <font>
      <i/>
      <sz val="12"/>
      <color rgb="FF00B050"/>
      <name val="Arial"/>
      <family val="2"/>
      <charset val="204"/>
    </font>
    <font>
      <i/>
      <sz val="9"/>
      <color rgb="FF00B050"/>
      <name val="Arial"/>
      <family val="2"/>
      <charset val="204"/>
    </font>
    <font>
      <b/>
      <i/>
      <sz val="12"/>
      <color rgb="FF00B05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4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</cellStyleXfs>
  <cellXfs count="311">
    <xf numFmtId="0" fontId="0" fillId="0" borderId="0" xfId="0"/>
    <xf numFmtId="2" fontId="1" fillId="2" borderId="1" xfId="0" applyNumberFormat="1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2" fontId="8" fillId="2" borderId="2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2" fontId="8" fillId="4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wrapText="1"/>
    </xf>
    <xf numFmtId="2" fontId="0" fillId="0" borderId="1" xfId="0" applyNumberFormat="1" applyBorder="1"/>
    <xf numFmtId="2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wrapText="1"/>
    </xf>
    <xf numFmtId="2" fontId="0" fillId="0" borderId="1" xfId="0" applyNumberFormat="1" applyBorder="1" applyAlignment="1">
      <alignment horizontal="center" vertical="center" wrapText="1"/>
    </xf>
    <xf numFmtId="2" fontId="9" fillId="5" borderId="1" xfId="0" applyNumberFormat="1" applyFont="1" applyFill="1" applyBorder="1" applyAlignment="1">
      <alignment horizontal="center" vertical="center" wrapText="1"/>
    </xf>
    <xf numFmtId="2" fontId="1" fillId="6" borderId="1" xfId="0" applyNumberFormat="1" applyFont="1" applyFill="1" applyBorder="1" applyAlignment="1">
      <alignment horizontal="center" vertical="center" wrapText="1"/>
    </xf>
    <xf numFmtId="2" fontId="1" fillId="7" borderId="1" xfId="0" applyNumberFormat="1" applyFont="1" applyFill="1" applyBorder="1" applyAlignment="1">
      <alignment horizontal="center" vertical="center" wrapText="1"/>
    </xf>
    <xf numFmtId="2" fontId="11" fillId="7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Border="1" applyAlignment="1">
      <alignment wrapText="1"/>
    </xf>
    <xf numFmtId="2" fontId="12" fillId="0" borderId="1" xfId="0" applyNumberFormat="1" applyFont="1" applyBorder="1" applyAlignment="1">
      <alignment horizontal="center" vertical="center" wrapText="1"/>
    </xf>
    <xf numFmtId="2" fontId="0" fillId="0" borderId="1" xfId="0" applyNumberFormat="1" applyFont="1" applyBorder="1" applyAlignment="1">
      <alignment wrapText="1"/>
    </xf>
    <xf numFmtId="2" fontId="1" fillId="0" borderId="1" xfId="0" applyNumberFormat="1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2" fontId="11" fillId="6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left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1" xfId="0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0" fillId="0" borderId="1" xfId="0" applyBorder="1"/>
    <xf numFmtId="0" fontId="12" fillId="0" borderId="1" xfId="0" applyFon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wrapText="1"/>
    </xf>
    <xf numFmtId="2" fontId="14" fillId="4" borderId="1" xfId="0" applyNumberFormat="1" applyFont="1" applyFill="1" applyBorder="1" applyAlignment="1">
      <alignment wrapText="1"/>
    </xf>
    <xf numFmtId="2" fontId="14" fillId="4" borderId="1" xfId="0" applyNumberFormat="1" applyFont="1" applyFill="1" applyBorder="1" applyAlignment="1">
      <alignment horizontal="center" vertical="center" wrapText="1"/>
    </xf>
    <xf numFmtId="2" fontId="18" fillId="0" borderId="1" xfId="0" applyNumberFormat="1" applyFont="1" applyBorder="1" applyAlignment="1">
      <alignment wrapText="1"/>
    </xf>
    <xf numFmtId="2" fontId="19" fillId="0" borderId="1" xfId="0" applyNumberFormat="1" applyFont="1" applyBorder="1" applyAlignment="1">
      <alignment wrapText="1"/>
    </xf>
    <xf numFmtId="0" fontId="0" fillId="0" borderId="0" xfId="0" applyAlignment="1">
      <alignment wrapText="1"/>
    </xf>
    <xf numFmtId="0" fontId="22" fillId="9" borderId="0" xfId="0" applyFont="1" applyFill="1"/>
    <xf numFmtId="2" fontId="16" fillId="9" borderId="1" xfId="0" applyNumberFormat="1" applyFont="1" applyFill="1" applyBorder="1" applyAlignment="1">
      <alignment horizontal="center" vertical="center"/>
    </xf>
    <xf numFmtId="2" fontId="16" fillId="9" borderId="3" xfId="0" applyNumberFormat="1" applyFont="1" applyFill="1" applyBorder="1" applyAlignment="1">
      <alignment horizontal="center" vertical="center"/>
    </xf>
    <xf numFmtId="2" fontId="16" fillId="9" borderId="9" xfId="0" applyNumberFormat="1" applyFont="1" applyFill="1" applyBorder="1" applyAlignment="1">
      <alignment horizontal="center" vertical="center"/>
    </xf>
    <xf numFmtId="2" fontId="16" fillId="9" borderId="0" xfId="0" applyNumberFormat="1" applyFont="1" applyFill="1" applyBorder="1" applyAlignment="1">
      <alignment horizontal="left" vertical="center" wrapText="1"/>
    </xf>
    <xf numFmtId="2" fontId="16" fillId="9" borderId="1" xfId="0" applyNumberFormat="1" applyFont="1" applyFill="1" applyBorder="1" applyAlignment="1">
      <alignment horizontal="center" vertical="center" wrapText="1"/>
    </xf>
    <xf numFmtId="0" fontId="22" fillId="9" borderId="0" xfId="0" applyFont="1" applyFill="1" applyAlignment="1">
      <alignment wrapText="1"/>
    </xf>
    <xf numFmtId="0" fontId="21" fillId="9" borderId="0" xfId="0" applyFont="1" applyFill="1" applyAlignment="1">
      <alignment wrapText="1"/>
    </xf>
    <xf numFmtId="2" fontId="17" fillId="9" borderId="1" xfId="0" applyNumberFormat="1" applyFont="1" applyFill="1" applyBorder="1" applyAlignment="1">
      <alignment horizontal="center" vertical="center" wrapText="1"/>
    </xf>
    <xf numFmtId="0" fontId="16" fillId="9" borderId="3" xfId="0" applyFont="1" applyFill="1" applyBorder="1" applyAlignment="1">
      <alignment horizontal="center" vertical="center" wrapText="1"/>
    </xf>
    <xf numFmtId="0" fontId="16" fillId="9" borderId="1" xfId="0" applyFont="1" applyFill="1" applyBorder="1" applyAlignment="1">
      <alignment horizontal="center" vertical="center"/>
    </xf>
    <xf numFmtId="0" fontId="16" fillId="9" borderId="0" xfId="0" applyFont="1" applyFill="1"/>
    <xf numFmtId="0" fontId="16" fillId="9" borderId="1" xfId="2" applyFont="1" applyFill="1" applyBorder="1" applyAlignment="1">
      <alignment horizontal="center" vertical="center" wrapText="1"/>
    </xf>
    <xf numFmtId="0" fontId="16" fillId="9" borderId="1" xfId="0" applyFont="1" applyFill="1" applyBorder="1" applyAlignment="1">
      <alignment horizontal="center" vertical="center" wrapText="1"/>
    </xf>
    <xf numFmtId="0" fontId="23" fillId="9" borderId="0" xfId="0" applyFont="1" applyFill="1"/>
    <xf numFmtId="0" fontId="23" fillId="9" borderId="0" xfId="0" applyFont="1" applyFill="1" applyAlignment="1">
      <alignment horizontal="right"/>
    </xf>
    <xf numFmtId="2" fontId="17" fillId="9" borderId="3" xfId="0" applyNumberFormat="1" applyFont="1" applyFill="1" applyBorder="1" applyAlignment="1">
      <alignment horizontal="center" vertical="center" wrapText="1"/>
    </xf>
    <xf numFmtId="2" fontId="16" fillId="9" borderId="1" xfId="0" applyNumberFormat="1" applyFont="1" applyFill="1" applyBorder="1"/>
    <xf numFmtId="0" fontId="16" fillId="9" borderId="5" xfId="0" applyFont="1" applyFill="1" applyBorder="1" applyAlignment="1">
      <alignment horizontal="center" vertical="center" wrapText="1"/>
    </xf>
    <xf numFmtId="2" fontId="17" fillId="9" borderId="4" xfId="0" applyNumberFormat="1" applyFont="1" applyFill="1" applyBorder="1" applyAlignment="1">
      <alignment vertical="center" wrapText="1"/>
    </xf>
    <xf numFmtId="2" fontId="16" fillId="9" borderId="4" xfId="0" applyNumberFormat="1" applyFont="1" applyFill="1" applyBorder="1" applyAlignment="1">
      <alignment vertical="center" wrapText="1"/>
    </xf>
    <xf numFmtId="2" fontId="16" fillId="9" borderId="0" xfId="0" applyNumberFormat="1" applyFont="1" applyFill="1"/>
    <xf numFmtId="2" fontId="16" fillId="9" borderId="0" xfId="0" applyNumberFormat="1" applyFont="1" applyFill="1" applyBorder="1" applyAlignment="1">
      <alignment horizontal="center" vertical="center"/>
    </xf>
    <xf numFmtId="2" fontId="10" fillId="9" borderId="1" xfId="0" applyNumberFormat="1" applyFont="1" applyFill="1" applyBorder="1" applyAlignment="1">
      <alignment horizontal="center" vertical="center" wrapText="1"/>
    </xf>
    <xf numFmtId="0" fontId="16" fillId="9" borderId="0" xfId="0" applyFont="1" applyFill="1" applyAlignment="1">
      <alignment horizontal="left" vertical="center" wrapText="1"/>
    </xf>
    <xf numFmtId="0" fontId="10" fillId="9" borderId="1" xfId="0" applyFont="1" applyFill="1" applyBorder="1" applyAlignment="1">
      <alignment horizontal="center" vertical="center" wrapText="1"/>
    </xf>
    <xf numFmtId="2" fontId="16" fillId="9" borderId="1" xfId="0" applyNumberFormat="1" applyFont="1" applyFill="1" applyBorder="1" applyAlignment="1">
      <alignment horizontal="left" vertical="center" wrapText="1"/>
    </xf>
    <xf numFmtId="0" fontId="16" fillId="9" borderId="1" xfId="0" applyFont="1" applyFill="1" applyBorder="1" applyAlignment="1">
      <alignment wrapText="1"/>
    </xf>
    <xf numFmtId="0" fontId="16" fillId="9" borderId="0" xfId="0" applyFont="1" applyFill="1" applyAlignment="1">
      <alignment horizontal="center"/>
    </xf>
    <xf numFmtId="2" fontId="16" fillId="9" borderId="1" xfId="0" applyNumberFormat="1" applyFont="1" applyFill="1" applyBorder="1" applyAlignment="1">
      <alignment wrapText="1"/>
    </xf>
    <xf numFmtId="0" fontId="16" fillId="9" borderId="0" xfId="0" applyFont="1" applyFill="1" applyAlignment="1">
      <alignment horizontal="center" vertical="center" wrapText="1"/>
    </xf>
    <xf numFmtId="0" fontId="22" fillId="9" borderId="0" xfId="0" applyFont="1" applyFill="1" applyBorder="1"/>
    <xf numFmtId="0" fontId="21" fillId="9" borderId="1" xfId="0" applyFont="1" applyFill="1" applyBorder="1" applyAlignment="1">
      <alignment wrapText="1"/>
    </xf>
    <xf numFmtId="0" fontId="22" fillId="0" borderId="1" xfId="0" applyFont="1" applyBorder="1" applyAlignment="1">
      <alignment horizontal="justify" vertical="center" wrapText="1"/>
    </xf>
    <xf numFmtId="0" fontId="22" fillId="0" borderId="0" xfId="0" applyFont="1" applyBorder="1" applyAlignment="1">
      <alignment horizontal="center" vertical="center" wrapText="1"/>
    </xf>
    <xf numFmtId="0" fontId="16" fillId="9" borderId="0" xfId="0" applyFont="1" applyFill="1" applyBorder="1"/>
    <xf numFmtId="2" fontId="16" fillId="9" borderId="4" xfId="0" applyNumberFormat="1" applyFont="1" applyFill="1" applyBorder="1" applyAlignment="1">
      <alignment horizontal="center" vertical="center"/>
    </xf>
    <xf numFmtId="2" fontId="16" fillId="9" borderId="4" xfId="0" applyNumberFormat="1" applyFont="1" applyFill="1" applyBorder="1" applyAlignment="1">
      <alignment wrapText="1"/>
    </xf>
    <xf numFmtId="2" fontId="16" fillId="9" borderId="0" xfId="0" applyNumberFormat="1" applyFont="1" applyFill="1" applyBorder="1" applyAlignment="1">
      <alignment wrapText="1"/>
    </xf>
    <xf numFmtId="0" fontId="16" fillId="9" borderId="1" xfId="0" applyFont="1" applyFill="1" applyBorder="1"/>
    <xf numFmtId="2" fontId="25" fillId="9" borderId="1" xfId="0" applyNumberFormat="1" applyFont="1" applyFill="1" applyBorder="1" applyAlignment="1">
      <alignment horizontal="center" vertical="center" wrapText="1"/>
    </xf>
    <xf numFmtId="2" fontId="16" fillId="10" borderId="1" xfId="0" applyNumberFormat="1" applyFont="1" applyFill="1" applyBorder="1" applyAlignment="1">
      <alignment horizontal="center" vertical="center" wrapText="1"/>
    </xf>
    <xf numFmtId="2" fontId="16" fillId="9" borderId="10" xfId="0" applyNumberFormat="1" applyFont="1" applyFill="1" applyBorder="1" applyAlignment="1">
      <alignment horizontal="center" vertical="center"/>
    </xf>
    <xf numFmtId="2" fontId="16" fillId="9" borderId="6" xfId="0" applyNumberFormat="1" applyFont="1" applyFill="1" applyBorder="1" applyAlignment="1">
      <alignment horizontal="center" vertical="center"/>
    </xf>
    <xf numFmtId="2" fontId="25" fillId="9" borderId="3" xfId="0" applyNumberFormat="1" applyFont="1" applyFill="1" applyBorder="1" applyAlignment="1">
      <alignment horizontal="center" vertical="center"/>
    </xf>
    <xf numFmtId="2" fontId="25" fillId="9" borderId="1" xfId="0" applyNumberFormat="1" applyFont="1" applyFill="1" applyBorder="1" applyAlignment="1">
      <alignment horizontal="center" vertical="center"/>
    </xf>
    <xf numFmtId="0" fontId="25" fillId="9" borderId="0" xfId="0" applyFont="1" applyFill="1"/>
    <xf numFmtId="2" fontId="16" fillId="9" borderId="7" xfId="0" applyNumberFormat="1" applyFont="1" applyFill="1" applyBorder="1" applyAlignment="1">
      <alignment horizontal="center" vertical="center"/>
    </xf>
    <xf numFmtId="2" fontId="22" fillId="9" borderId="1" xfId="0" applyNumberFormat="1" applyFont="1" applyFill="1" applyBorder="1" applyAlignment="1">
      <alignment horizontal="center" vertical="center" wrapText="1"/>
    </xf>
    <xf numFmtId="2" fontId="16" fillId="0" borderId="3" xfId="0" applyNumberFormat="1" applyFont="1" applyFill="1" applyBorder="1" applyAlignment="1">
      <alignment horizontal="center" vertical="center"/>
    </xf>
    <xf numFmtId="2" fontId="16" fillId="0" borderId="1" xfId="0" applyNumberFormat="1" applyFont="1" applyFill="1" applyBorder="1" applyAlignment="1">
      <alignment horizontal="center" vertical="center"/>
    </xf>
    <xf numFmtId="0" fontId="16" fillId="0" borderId="0" xfId="0" applyFont="1" applyFill="1"/>
    <xf numFmtId="2" fontId="10" fillId="0" borderId="1" xfId="0" applyNumberFormat="1" applyFont="1" applyFill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center" vertical="center" wrapText="1"/>
    </xf>
    <xf numFmtId="2" fontId="16" fillId="9" borderId="0" xfId="0" applyNumberFormat="1" applyFont="1" applyFill="1" applyBorder="1"/>
    <xf numFmtId="0" fontId="16" fillId="9" borderId="0" xfId="0" applyFont="1" applyFill="1" applyBorder="1" applyAlignment="1">
      <alignment horizontal="center" vertical="top" wrapText="1"/>
    </xf>
    <xf numFmtId="2" fontId="27" fillId="9" borderId="4" xfId="0" applyNumberFormat="1" applyFont="1" applyFill="1" applyBorder="1" applyAlignment="1">
      <alignment horizontal="center" vertical="center" wrapText="1"/>
    </xf>
    <xf numFmtId="0" fontId="29" fillId="0" borderId="1" xfId="0" applyFont="1" applyBorder="1" applyAlignment="1">
      <alignment wrapText="1"/>
    </xf>
    <xf numFmtId="2" fontId="30" fillId="9" borderId="1" xfId="0" applyNumberFormat="1" applyFont="1" applyFill="1" applyBorder="1" applyAlignment="1">
      <alignment horizontal="center" vertical="center" wrapText="1"/>
    </xf>
    <xf numFmtId="2" fontId="22" fillId="9" borderId="1" xfId="0" applyNumberFormat="1" applyFont="1" applyFill="1" applyBorder="1" applyAlignment="1">
      <alignment wrapText="1"/>
    </xf>
    <xf numFmtId="0" fontId="29" fillId="0" borderId="1" xfId="0" applyFont="1" applyBorder="1"/>
    <xf numFmtId="2" fontId="34" fillId="9" borderId="1" xfId="0" applyNumberFormat="1" applyFont="1" applyFill="1" applyBorder="1" applyAlignment="1">
      <alignment horizontal="center" vertical="center" wrapText="1"/>
    </xf>
    <xf numFmtId="0" fontId="25" fillId="9" borderId="0" xfId="0" applyFont="1" applyFill="1" applyAlignment="1">
      <alignment horizontal="center" vertical="center" wrapText="1"/>
    </xf>
    <xf numFmtId="0" fontId="25" fillId="9" borderId="0" xfId="0" applyFont="1" applyFill="1" applyAlignment="1">
      <alignment horizontal="center" vertical="center"/>
    </xf>
    <xf numFmtId="2" fontId="17" fillId="9" borderId="1" xfId="0" applyNumberFormat="1" applyFont="1" applyFill="1" applyBorder="1" applyAlignment="1">
      <alignment horizontal="center" vertical="center" wrapText="1"/>
    </xf>
    <xf numFmtId="2" fontId="17" fillId="9" borderId="1" xfId="0" applyNumberFormat="1" applyFont="1" applyFill="1" applyBorder="1" applyAlignment="1">
      <alignment horizontal="center" wrapText="1"/>
    </xf>
    <xf numFmtId="0" fontId="16" fillId="9" borderId="1" xfId="8" applyFont="1" applyFill="1" applyBorder="1" applyAlignment="1">
      <alignment horizontal="center" vertical="center" wrapText="1"/>
    </xf>
    <xf numFmtId="3" fontId="16" fillId="9" borderId="1" xfId="0" applyNumberFormat="1" applyFont="1" applyFill="1" applyBorder="1" applyAlignment="1">
      <alignment horizontal="center" vertical="center" wrapText="1"/>
    </xf>
    <xf numFmtId="0" fontId="29" fillId="0" borderId="1" xfId="0" applyFont="1" applyBorder="1" applyAlignment="1">
      <alignment vertical="center"/>
    </xf>
    <xf numFmtId="3" fontId="22" fillId="9" borderId="1" xfId="0" applyNumberFormat="1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justify" vertical="center" wrapText="1"/>
    </xf>
    <xf numFmtId="2" fontId="22" fillId="9" borderId="1" xfId="0" applyNumberFormat="1" applyFont="1" applyFill="1" applyBorder="1" applyAlignment="1">
      <alignment vertical="center" wrapText="1"/>
    </xf>
    <xf numFmtId="3" fontId="25" fillId="9" borderId="1" xfId="0" applyNumberFormat="1" applyFont="1" applyFill="1" applyBorder="1" applyAlignment="1">
      <alignment horizontal="center" vertical="center" wrapText="1"/>
    </xf>
    <xf numFmtId="2" fontId="25" fillId="9" borderId="4" xfId="0" applyNumberFormat="1" applyFont="1" applyFill="1" applyBorder="1" applyAlignment="1">
      <alignment horizontal="center" vertical="center" wrapText="1"/>
    </xf>
    <xf numFmtId="0" fontId="35" fillId="0" borderId="1" xfId="0" applyFont="1" applyBorder="1" applyAlignment="1">
      <alignment wrapText="1"/>
    </xf>
    <xf numFmtId="2" fontId="16" fillId="9" borderId="1" xfId="0" applyNumberFormat="1" applyFont="1" applyFill="1" applyBorder="1" applyAlignment="1">
      <alignment horizontal="justify" vertical="center" wrapText="1"/>
    </xf>
    <xf numFmtId="0" fontId="16" fillId="0" borderId="1" xfId="0" applyFont="1" applyBorder="1" applyAlignment="1">
      <alignment horizontal="justify" vertical="center" wrapText="1"/>
    </xf>
    <xf numFmtId="2" fontId="17" fillId="0" borderId="4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Fill="1"/>
    <xf numFmtId="0" fontId="22" fillId="0" borderId="1" xfId="0" applyFont="1" applyFill="1" applyBorder="1" applyAlignment="1">
      <alignment horizontal="justify" vertical="center" wrapText="1"/>
    </xf>
    <xf numFmtId="2" fontId="16" fillId="9" borderId="0" xfId="0" applyNumberFormat="1" applyFont="1" applyFill="1" applyBorder="1" applyAlignment="1">
      <alignment horizontal="center" wrapText="1"/>
    </xf>
    <xf numFmtId="1" fontId="16" fillId="9" borderId="1" xfId="0" applyNumberFormat="1" applyFont="1" applyFill="1" applyBorder="1" applyAlignment="1">
      <alignment horizontal="center" vertical="center"/>
    </xf>
    <xf numFmtId="0" fontId="25" fillId="9" borderId="0" xfId="0" applyFont="1" applyFill="1" applyBorder="1" applyAlignment="1">
      <alignment horizontal="center" vertical="center"/>
    </xf>
    <xf numFmtId="0" fontId="35" fillId="0" borderId="1" xfId="0" applyFont="1" applyBorder="1"/>
    <xf numFmtId="0" fontId="35" fillId="0" borderId="1" xfId="0" applyFont="1" applyBorder="1" applyAlignment="1">
      <alignment vertical="center" wrapText="1"/>
    </xf>
    <xf numFmtId="0" fontId="16" fillId="9" borderId="0" xfId="0" applyFont="1" applyFill="1" applyBorder="1" applyAlignment="1">
      <alignment vertical="center"/>
    </xf>
    <xf numFmtId="2" fontId="25" fillId="9" borderId="7" xfId="0" applyNumberFormat="1" applyFont="1" applyFill="1" applyBorder="1" applyAlignment="1">
      <alignment horizontal="center" vertical="center"/>
    </xf>
    <xf numFmtId="2" fontId="25" fillId="9" borderId="0" xfId="0" applyNumberFormat="1" applyFont="1" applyFill="1" applyBorder="1" applyAlignment="1">
      <alignment horizontal="center" vertical="center"/>
    </xf>
    <xf numFmtId="2" fontId="16" fillId="9" borderId="1" xfId="0" applyNumberFormat="1" applyFont="1" applyFill="1" applyBorder="1" applyAlignment="1">
      <alignment horizontal="left" wrapText="1"/>
    </xf>
    <xf numFmtId="3" fontId="16" fillId="0" borderId="1" xfId="0" applyNumberFormat="1" applyFont="1" applyFill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wrapText="1"/>
    </xf>
    <xf numFmtId="0" fontId="25" fillId="9" borderId="8" xfId="0" applyFont="1" applyFill="1" applyBorder="1" applyAlignment="1">
      <alignment vertical="center" wrapText="1"/>
    </xf>
    <xf numFmtId="2" fontId="3" fillId="9" borderId="1" xfId="0" applyNumberFormat="1" applyFont="1" applyFill="1" applyBorder="1" applyAlignment="1">
      <alignment horizontal="center" vertical="center" wrapText="1"/>
    </xf>
    <xf numFmtId="2" fontId="22" fillId="9" borderId="3" xfId="0" applyNumberFormat="1" applyFont="1" applyFill="1" applyBorder="1" applyAlignment="1">
      <alignment horizontal="center" vertical="center"/>
    </xf>
    <xf numFmtId="2" fontId="22" fillId="9" borderId="1" xfId="0" applyNumberFormat="1" applyFont="1" applyFill="1" applyBorder="1" applyAlignment="1">
      <alignment horizontal="center" vertical="center"/>
    </xf>
    <xf numFmtId="2" fontId="22" fillId="9" borderId="7" xfId="0" applyNumberFormat="1" applyFont="1" applyFill="1" applyBorder="1" applyAlignment="1">
      <alignment horizontal="center" vertical="center"/>
    </xf>
    <xf numFmtId="0" fontId="22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2" fontId="23" fillId="9" borderId="1" xfId="0" applyNumberFormat="1" applyFont="1" applyFill="1" applyBorder="1" applyAlignment="1">
      <alignment horizontal="center" vertical="center" wrapText="1"/>
    </xf>
    <xf numFmtId="0" fontId="16" fillId="9" borderId="0" xfId="0" applyFont="1" applyFill="1" applyBorder="1" applyAlignment="1">
      <alignment wrapText="1"/>
    </xf>
    <xf numFmtId="0" fontId="25" fillId="9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2" fontId="16" fillId="0" borderId="0" xfId="0" applyNumberFormat="1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left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left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22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9" borderId="0" xfId="0" applyFont="1" applyFill="1" applyAlignment="1">
      <alignment vertical="center"/>
    </xf>
    <xf numFmtId="2" fontId="38" fillId="9" borderId="1" xfId="0" applyNumberFormat="1" applyFont="1" applyFill="1" applyBorder="1" applyAlignment="1">
      <alignment horizontal="center" vertical="center" wrapText="1"/>
    </xf>
    <xf numFmtId="2" fontId="37" fillId="9" borderId="1" xfId="0" applyNumberFormat="1" applyFont="1" applyFill="1" applyBorder="1" applyAlignment="1">
      <alignment horizontal="center" vertical="center" wrapText="1"/>
    </xf>
    <xf numFmtId="2" fontId="39" fillId="9" borderId="1" xfId="0" applyNumberFormat="1" applyFont="1" applyFill="1" applyBorder="1" applyAlignment="1">
      <alignment horizontal="center" vertical="center" wrapText="1"/>
    </xf>
    <xf numFmtId="2" fontId="17" fillId="9" borderId="3" xfId="0" applyNumberFormat="1" applyFont="1" applyFill="1" applyBorder="1" applyAlignment="1">
      <alignment horizontal="center" vertical="center"/>
    </xf>
    <xf numFmtId="2" fontId="17" fillId="9" borderId="1" xfId="0" applyNumberFormat="1" applyFont="1" applyFill="1" applyBorder="1" applyAlignment="1">
      <alignment horizontal="center" vertical="center"/>
    </xf>
    <xf numFmtId="0" fontId="17" fillId="9" borderId="0" xfId="0" applyFont="1" applyFill="1"/>
    <xf numFmtId="0" fontId="37" fillId="9" borderId="1" xfId="0" applyFont="1" applyFill="1" applyBorder="1" applyAlignment="1">
      <alignment horizontal="center" vertical="center" wrapText="1"/>
    </xf>
    <xf numFmtId="2" fontId="37" fillId="9" borderId="0" xfId="0" applyNumberFormat="1" applyFont="1" applyFill="1" applyBorder="1" applyAlignment="1">
      <alignment horizontal="left" vertical="center" wrapText="1"/>
    </xf>
    <xf numFmtId="0" fontId="37" fillId="9" borderId="0" xfId="0" applyFont="1" applyFill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2" fontId="40" fillId="9" borderId="1" xfId="0" applyNumberFormat="1" applyFont="1" applyFill="1" applyBorder="1" applyAlignment="1">
      <alignment horizontal="center" vertical="center" wrapText="1"/>
    </xf>
    <xf numFmtId="0" fontId="23" fillId="9" borderId="0" xfId="0" applyFont="1" applyFill="1" applyBorder="1" applyAlignment="1">
      <alignment horizontal="right"/>
    </xf>
    <xf numFmtId="2" fontId="17" fillId="9" borderId="1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justify" vertical="center" wrapText="1"/>
    </xf>
    <xf numFmtId="2" fontId="17" fillId="9" borderId="1" xfId="0" applyNumberFormat="1" applyFont="1" applyFill="1" applyBorder="1" applyAlignment="1">
      <alignment horizontal="center" wrapText="1"/>
    </xf>
    <xf numFmtId="0" fontId="16" fillId="9" borderId="1" xfId="0" applyFont="1" applyFill="1" applyBorder="1" applyAlignment="1">
      <alignment horizontal="center" vertical="center" wrapText="1"/>
    </xf>
    <xf numFmtId="0" fontId="17" fillId="9" borderId="1" xfId="8" applyFont="1" applyFill="1" applyBorder="1" applyAlignment="1">
      <alignment horizontal="center" vertical="center" wrapText="1"/>
    </xf>
    <xf numFmtId="0" fontId="16" fillId="9" borderId="1" xfId="8" applyFont="1" applyFill="1" applyBorder="1" applyAlignment="1">
      <alignment horizontal="center" vertical="center" wrapText="1"/>
    </xf>
    <xf numFmtId="2" fontId="16" fillId="9" borderId="1" xfId="0" applyNumberFormat="1" applyFont="1" applyFill="1" applyBorder="1" applyAlignment="1">
      <alignment horizontal="center" vertical="center" wrapText="1"/>
    </xf>
    <xf numFmtId="0" fontId="16" fillId="9" borderId="0" xfId="0" applyFont="1" applyFill="1" applyAlignment="1">
      <alignment horizontal="center" vertical="center" wrapText="1"/>
    </xf>
    <xf numFmtId="0" fontId="16" fillId="9" borderId="3" xfId="8" applyFont="1" applyFill="1" applyBorder="1" applyAlignment="1">
      <alignment horizontal="center" vertical="center" wrapText="1"/>
    </xf>
    <xf numFmtId="2" fontId="17" fillId="9" borderId="4" xfId="0" applyNumberFormat="1" applyFont="1" applyFill="1" applyBorder="1" applyAlignment="1">
      <alignment horizontal="center" vertical="center" wrapText="1"/>
    </xf>
    <xf numFmtId="3" fontId="16" fillId="9" borderId="3" xfId="0" applyNumberFormat="1" applyFont="1" applyFill="1" applyBorder="1" applyAlignment="1">
      <alignment horizontal="center" vertical="center" wrapText="1"/>
    </xf>
    <xf numFmtId="0" fontId="16" fillId="9" borderId="3" xfId="0" applyFont="1" applyFill="1" applyBorder="1"/>
    <xf numFmtId="3" fontId="16" fillId="0" borderId="3" xfId="0" applyNumberFormat="1" applyFont="1" applyFill="1" applyBorder="1" applyAlignment="1">
      <alignment horizontal="center" vertical="center" wrapText="1"/>
    </xf>
    <xf numFmtId="3" fontId="37" fillId="9" borderId="1" xfId="0" applyNumberFormat="1" applyFont="1" applyFill="1" applyBorder="1" applyAlignment="1">
      <alignment horizontal="center" vertical="center" wrapText="1"/>
    </xf>
    <xf numFmtId="3" fontId="39" fillId="9" borderId="1" xfId="0" applyNumberFormat="1" applyFont="1" applyFill="1" applyBorder="1" applyAlignment="1">
      <alignment horizontal="center" vertical="center" wrapText="1"/>
    </xf>
    <xf numFmtId="3" fontId="16" fillId="10" borderId="1" xfId="0" applyNumberFormat="1" applyFont="1" applyFill="1" applyBorder="1" applyAlignment="1">
      <alignment horizontal="center" vertical="center" wrapText="1"/>
    </xf>
    <xf numFmtId="1" fontId="16" fillId="9" borderId="1" xfId="0" applyNumberFormat="1" applyFont="1" applyFill="1" applyBorder="1" applyAlignment="1">
      <alignment horizontal="center" vertical="center" wrapText="1"/>
    </xf>
    <xf numFmtId="3" fontId="16" fillId="9" borderId="1" xfId="0" applyNumberFormat="1" applyFont="1" applyFill="1" applyBorder="1" applyAlignment="1">
      <alignment vertical="center" wrapText="1"/>
    </xf>
    <xf numFmtId="1" fontId="22" fillId="0" borderId="1" xfId="0" applyNumberFormat="1" applyFont="1" applyBorder="1" applyAlignment="1">
      <alignment horizontal="center" vertical="center" wrapText="1"/>
    </xf>
    <xf numFmtId="1" fontId="22" fillId="9" borderId="1" xfId="0" applyNumberFormat="1" applyFont="1" applyFill="1" applyBorder="1" applyAlignment="1">
      <alignment horizontal="center" vertical="center" wrapText="1"/>
    </xf>
    <xf numFmtId="3" fontId="16" fillId="9" borderId="1" xfId="0" applyNumberFormat="1" applyFont="1" applyFill="1" applyBorder="1" applyAlignment="1">
      <alignment horizontal="center" vertical="center"/>
    </xf>
    <xf numFmtId="0" fontId="21" fillId="11" borderId="1" xfId="0" applyFont="1" applyFill="1" applyBorder="1" applyAlignment="1">
      <alignment horizontal="left" wrapText="1"/>
    </xf>
    <xf numFmtId="0" fontId="16" fillId="0" borderId="1" xfId="0" applyFont="1" applyFill="1" applyBorder="1"/>
    <xf numFmtId="1" fontId="16" fillId="0" borderId="1" xfId="0" applyNumberFormat="1" applyFont="1" applyFill="1" applyBorder="1" applyAlignment="1">
      <alignment horizontal="center" vertical="center"/>
    </xf>
    <xf numFmtId="1" fontId="17" fillId="9" borderId="0" xfId="0" applyNumberFormat="1" applyFont="1" applyFill="1" applyAlignment="1">
      <alignment horizontal="center"/>
    </xf>
    <xf numFmtId="1" fontId="16" fillId="9" borderId="0" xfId="0" applyNumberFormat="1" applyFont="1" applyFill="1"/>
    <xf numFmtId="1" fontId="16" fillId="9" borderId="1" xfId="8" applyNumberFormat="1" applyFont="1" applyFill="1" applyBorder="1" applyAlignment="1">
      <alignment horizontal="center" vertical="center" wrapText="1"/>
    </xf>
    <xf numFmtId="1" fontId="17" fillId="9" borderId="1" xfId="0" applyNumberFormat="1" applyFont="1" applyFill="1" applyBorder="1" applyAlignment="1">
      <alignment horizontal="center" vertical="center" wrapText="1"/>
    </xf>
    <xf numFmtId="1" fontId="37" fillId="9" borderId="1" xfId="0" applyNumberFormat="1" applyFont="1" applyFill="1" applyBorder="1" applyAlignment="1">
      <alignment horizontal="center" vertical="center" wrapText="1"/>
    </xf>
    <xf numFmtId="1" fontId="25" fillId="9" borderId="1" xfId="0" applyNumberFormat="1" applyFont="1" applyFill="1" applyBorder="1" applyAlignment="1">
      <alignment horizontal="center" vertical="center" wrapText="1"/>
    </xf>
    <xf numFmtId="1" fontId="17" fillId="9" borderId="1" xfId="0" applyNumberFormat="1" applyFont="1" applyFill="1" applyBorder="1" applyAlignment="1">
      <alignment horizontal="center" wrapText="1"/>
    </xf>
    <xf numFmtId="2" fontId="16" fillId="9" borderId="1" xfId="0" applyNumberFormat="1" applyFont="1" applyFill="1" applyBorder="1" applyAlignment="1">
      <alignment vertical="center" wrapText="1"/>
    </xf>
    <xf numFmtId="0" fontId="22" fillId="9" borderId="1" xfId="0" applyFont="1" applyFill="1" applyBorder="1" applyAlignment="1">
      <alignment wrapText="1"/>
    </xf>
    <xf numFmtId="0" fontId="21" fillId="9" borderId="1" xfId="0" applyFont="1" applyFill="1" applyBorder="1" applyAlignment="1">
      <alignment horizontal="center" vertical="center" wrapText="1"/>
    </xf>
    <xf numFmtId="2" fontId="22" fillId="9" borderId="1" xfId="0" applyNumberFormat="1" applyFont="1" applyFill="1" applyBorder="1" applyAlignment="1">
      <alignment horizontal="left" vertical="center" wrapText="1"/>
    </xf>
    <xf numFmtId="2" fontId="37" fillId="9" borderId="1" xfId="0" applyNumberFormat="1" applyFont="1" applyFill="1" applyBorder="1" applyAlignment="1">
      <alignment horizontal="left" vertical="center" wrapText="1"/>
    </xf>
    <xf numFmtId="2" fontId="37" fillId="9" borderId="1" xfId="0" applyNumberFormat="1" applyFont="1" applyFill="1" applyBorder="1" applyAlignment="1">
      <alignment wrapText="1"/>
    </xf>
    <xf numFmtId="2" fontId="39" fillId="9" borderId="1" xfId="0" applyNumberFormat="1" applyFont="1" applyFill="1" applyBorder="1" applyAlignment="1">
      <alignment wrapText="1"/>
    </xf>
    <xf numFmtId="2" fontId="16" fillId="10" borderId="1" xfId="0" applyNumberFormat="1" applyFont="1" applyFill="1" applyBorder="1" applyAlignment="1">
      <alignment wrapText="1"/>
    </xf>
    <xf numFmtId="0" fontId="22" fillId="9" borderId="1" xfId="0" applyFont="1" applyFill="1" applyBorder="1" applyAlignment="1">
      <alignment horizontal="left" vertical="center" wrapText="1"/>
    </xf>
    <xf numFmtId="2" fontId="16" fillId="0" borderId="1" xfId="0" applyNumberFormat="1" applyFont="1" applyFill="1" applyBorder="1" applyAlignment="1">
      <alignment vertical="center" wrapText="1"/>
    </xf>
    <xf numFmtId="0" fontId="22" fillId="9" borderId="1" xfId="0" applyFont="1" applyFill="1" applyBorder="1" applyAlignment="1">
      <alignment vertical="center" wrapText="1"/>
    </xf>
    <xf numFmtId="49" fontId="22" fillId="9" borderId="1" xfId="0" applyNumberFormat="1" applyFont="1" applyFill="1" applyBorder="1" applyAlignment="1">
      <alignment horizontal="left" vertical="center" wrapText="1"/>
    </xf>
    <xf numFmtId="49" fontId="16" fillId="9" borderId="1" xfId="0" applyNumberFormat="1" applyFont="1" applyFill="1" applyBorder="1" applyAlignment="1">
      <alignment horizontal="left" vertical="center" wrapText="1"/>
    </xf>
    <xf numFmtId="49" fontId="22" fillId="0" borderId="1" xfId="0" applyNumberFormat="1" applyFont="1" applyFill="1" applyBorder="1" applyAlignment="1">
      <alignment horizontal="left" vertical="center" wrapText="1"/>
    </xf>
    <xf numFmtId="0" fontId="16" fillId="9" borderId="1" xfId="0" applyFont="1" applyFill="1" applyBorder="1" applyAlignment="1">
      <alignment horizontal="left" vertical="center" wrapText="1"/>
    </xf>
    <xf numFmtId="0" fontId="37" fillId="9" borderId="1" xfId="0" applyFont="1" applyFill="1" applyBorder="1" applyAlignment="1">
      <alignment horizontal="left" vertical="center" wrapText="1"/>
    </xf>
    <xf numFmtId="2" fontId="22" fillId="0" borderId="1" xfId="0" applyNumberFormat="1" applyFont="1" applyFill="1" applyBorder="1" applyAlignment="1">
      <alignment wrapText="1"/>
    </xf>
    <xf numFmtId="2" fontId="16" fillId="0" borderId="1" xfId="0" applyNumberFormat="1" applyFont="1" applyFill="1" applyBorder="1" applyAlignment="1">
      <alignment horizontal="left" vertical="center" wrapText="1"/>
    </xf>
    <xf numFmtId="0" fontId="25" fillId="9" borderId="1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vertical="center" wrapText="1"/>
    </xf>
    <xf numFmtId="2" fontId="29" fillId="0" borderId="1" xfId="0" applyNumberFormat="1" applyFont="1" applyBorder="1" applyAlignment="1">
      <alignment wrapText="1"/>
    </xf>
    <xf numFmtId="0" fontId="0" fillId="0" borderId="1" xfId="0" applyFont="1" applyBorder="1"/>
    <xf numFmtId="0" fontId="29" fillId="0" borderId="1" xfId="0" applyFont="1" applyBorder="1" applyAlignment="1">
      <alignment horizontal="justify" vertical="center"/>
    </xf>
    <xf numFmtId="49" fontId="16" fillId="9" borderId="1" xfId="0" applyNumberFormat="1" applyFont="1" applyFill="1" applyBorder="1" applyAlignment="1">
      <alignment wrapText="1"/>
    </xf>
    <xf numFmtId="0" fontId="21" fillId="9" borderId="1" xfId="0" applyFont="1" applyFill="1" applyBorder="1" applyAlignment="1">
      <alignment vertical="center" wrapText="1"/>
    </xf>
    <xf numFmtId="49" fontId="16" fillId="9" borderId="1" xfId="0" applyNumberFormat="1" applyFont="1" applyFill="1" applyBorder="1" applyAlignment="1">
      <alignment vertical="center" wrapText="1"/>
    </xf>
    <xf numFmtId="49" fontId="25" fillId="9" borderId="1" xfId="0" applyNumberFormat="1" applyFont="1" applyFill="1" applyBorder="1" applyAlignment="1">
      <alignment wrapText="1"/>
    </xf>
    <xf numFmtId="0" fontId="16" fillId="11" borderId="1" xfId="0" applyFont="1" applyFill="1" applyBorder="1" applyAlignment="1">
      <alignment horizontal="left" wrapText="1"/>
    </xf>
    <xf numFmtId="0" fontId="16" fillId="9" borderId="1" xfId="0" applyFont="1" applyFill="1" applyBorder="1" applyAlignment="1">
      <alignment vertical="center" wrapText="1"/>
    </xf>
    <xf numFmtId="0" fontId="21" fillId="9" borderId="1" xfId="0" applyFont="1" applyFill="1" applyBorder="1" applyAlignment="1">
      <alignment horizontal="left" vertical="center" wrapText="1"/>
    </xf>
    <xf numFmtId="0" fontId="16" fillId="11" borderId="1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21" fillId="11" borderId="1" xfId="0" applyFont="1" applyFill="1" applyBorder="1" applyAlignment="1">
      <alignment horizontal="left" vertical="center" wrapText="1"/>
    </xf>
    <xf numFmtId="49" fontId="21" fillId="11" borderId="1" xfId="0" applyNumberFormat="1" applyFont="1" applyFill="1" applyBorder="1" applyAlignment="1">
      <alignment horizontal="left" wrapText="1"/>
    </xf>
    <xf numFmtId="2" fontId="16" fillId="11" borderId="1" xfId="0" applyNumberFormat="1" applyFont="1" applyFill="1" applyBorder="1" applyAlignment="1">
      <alignment wrapText="1"/>
    </xf>
    <xf numFmtId="49" fontId="16" fillId="0" borderId="1" xfId="0" applyNumberFormat="1" applyFont="1" applyFill="1" applyBorder="1" applyAlignment="1">
      <alignment horizontal="left" vertical="center" wrapText="1"/>
    </xf>
    <xf numFmtId="49" fontId="16" fillId="11" borderId="1" xfId="0" applyNumberFormat="1" applyFont="1" applyFill="1" applyBorder="1" applyAlignment="1">
      <alignment horizontal="left" wrapText="1"/>
    </xf>
    <xf numFmtId="49" fontId="16" fillId="11" borderId="1" xfId="0" applyNumberFormat="1" applyFont="1" applyFill="1" applyBorder="1" applyAlignment="1">
      <alignment horizontal="left" vertical="center" wrapText="1"/>
    </xf>
    <xf numFmtId="0" fontId="21" fillId="9" borderId="1" xfId="0" applyFont="1" applyFill="1" applyBorder="1" applyAlignment="1">
      <alignment horizontal="left" wrapText="1"/>
    </xf>
    <xf numFmtId="0" fontId="28" fillId="11" borderId="1" xfId="0" applyFont="1" applyFill="1" applyBorder="1" applyAlignment="1">
      <alignment horizontal="left" wrapText="1"/>
    </xf>
    <xf numFmtId="0" fontId="16" fillId="9" borderId="0" xfId="0" applyFont="1" applyFill="1" applyBorder="1" applyAlignment="1">
      <alignment horizontal="center" vertical="center" wrapText="1"/>
    </xf>
    <xf numFmtId="0" fontId="3" fillId="0" borderId="6" xfId="8" applyFont="1" applyBorder="1" applyAlignment="1">
      <alignment horizontal="center" vertical="center" wrapText="1"/>
    </xf>
    <xf numFmtId="0" fontId="3" fillId="0" borderId="2" xfId="8" applyFont="1" applyBorder="1" applyAlignment="1">
      <alignment horizontal="center" vertical="center" wrapText="1"/>
    </xf>
    <xf numFmtId="0" fontId="4" fillId="5" borderId="1" xfId="8" applyFont="1" applyFill="1" applyBorder="1" applyAlignment="1">
      <alignment horizontal="center" vertical="center" wrapText="1"/>
    </xf>
    <xf numFmtId="0" fontId="4" fillId="5" borderId="6" xfId="8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4" fillId="9" borderId="1" xfId="8" applyFont="1" applyFill="1" applyBorder="1" applyAlignment="1">
      <alignment horizontal="center" vertical="center" wrapText="1"/>
    </xf>
    <xf numFmtId="0" fontId="24" fillId="9" borderId="1" xfId="0" applyFont="1" applyFill="1" applyBorder="1" applyAlignment="1">
      <alignment horizontal="center"/>
    </xf>
    <xf numFmtId="0" fontId="24" fillId="9" borderId="1" xfId="0" applyFont="1" applyFill="1" applyBorder="1" applyAlignment="1">
      <alignment horizontal="center" vertical="center" wrapText="1"/>
    </xf>
    <xf numFmtId="0" fontId="41" fillId="9" borderId="0" xfId="0" applyFont="1" applyFill="1" applyBorder="1" applyAlignment="1">
      <alignment horizontal="center" vertical="center" wrapText="1"/>
    </xf>
    <xf numFmtId="0" fontId="17" fillId="9" borderId="9" xfId="0" applyFont="1" applyFill="1" applyBorder="1" applyAlignment="1">
      <alignment horizontal="center" vertical="center" wrapText="1"/>
    </xf>
    <xf numFmtId="2" fontId="17" fillId="9" borderId="7" xfId="0" applyNumberFormat="1" applyFont="1" applyFill="1" applyBorder="1" applyAlignment="1">
      <alignment horizontal="center" wrapText="1"/>
    </xf>
    <xf numFmtId="2" fontId="17" fillId="9" borderId="4" xfId="0" applyNumberFormat="1" applyFont="1" applyFill="1" applyBorder="1" applyAlignment="1">
      <alignment horizontal="center" wrapText="1"/>
    </xf>
    <xf numFmtId="2" fontId="17" fillId="9" borderId="3" xfId="0" applyNumberFormat="1" applyFont="1" applyFill="1" applyBorder="1" applyAlignment="1">
      <alignment horizontal="center" wrapText="1"/>
    </xf>
    <xf numFmtId="0" fontId="17" fillId="9" borderId="0" xfId="0" applyFont="1" applyFill="1" applyAlignment="1">
      <alignment horizontal="center" vertical="center" wrapText="1"/>
    </xf>
    <xf numFmtId="2" fontId="26" fillId="9" borderId="7" xfId="0" applyNumberFormat="1" applyFont="1" applyFill="1" applyBorder="1" applyAlignment="1">
      <alignment horizontal="center" vertical="center" wrapText="1"/>
    </xf>
    <xf numFmtId="2" fontId="26" fillId="9" borderId="4" xfId="0" applyNumberFormat="1" applyFont="1" applyFill="1" applyBorder="1" applyAlignment="1">
      <alignment horizontal="center" vertical="center" wrapText="1"/>
    </xf>
    <xf numFmtId="2" fontId="26" fillId="9" borderId="3" xfId="0" applyNumberFormat="1" applyFont="1" applyFill="1" applyBorder="1" applyAlignment="1">
      <alignment horizontal="center" vertical="center" wrapText="1"/>
    </xf>
    <xf numFmtId="2" fontId="17" fillId="0" borderId="7" xfId="0" applyNumberFormat="1" applyFont="1" applyFill="1" applyBorder="1" applyAlignment="1">
      <alignment horizontal="center" wrapText="1"/>
    </xf>
    <xf numFmtId="2" fontId="17" fillId="0" borderId="4" xfId="0" applyNumberFormat="1" applyFont="1" applyFill="1" applyBorder="1" applyAlignment="1">
      <alignment horizontal="center" wrapText="1"/>
    </xf>
    <xf numFmtId="2" fontId="17" fillId="0" borderId="3" xfId="0" applyNumberFormat="1" applyFont="1" applyFill="1" applyBorder="1" applyAlignment="1">
      <alignment horizontal="center" wrapText="1"/>
    </xf>
    <xf numFmtId="0" fontId="26" fillId="0" borderId="7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2" fontId="17" fillId="9" borderId="1" xfId="0" applyNumberFormat="1" applyFont="1" applyFill="1" applyBorder="1" applyAlignment="1">
      <alignment horizontal="center" wrapText="1"/>
    </xf>
    <xf numFmtId="2" fontId="17" fillId="0" borderId="7" xfId="0" applyNumberFormat="1" applyFont="1" applyFill="1" applyBorder="1" applyAlignment="1">
      <alignment horizontal="center" vertical="center" wrapText="1"/>
    </xf>
    <xf numFmtId="2" fontId="17" fillId="0" borderId="4" xfId="0" applyNumberFormat="1" applyFont="1" applyFill="1" applyBorder="1" applyAlignment="1">
      <alignment horizontal="center" vertical="center" wrapText="1"/>
    </xf>
    <xf numFmtId="2" fontId="17" fillId="0" borderId="3" xfId="0" applyNumberFormat="1" applyFont="1" applyFill="1" applyBorder="1" applyAlignment="1">
      <alignment horizontal="center" vertical="center" wrapText="1"/>
    </xf>
    <xf numFmtId="2" fontId="17" fillId="9" borderId="1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justify" vertical="center" wrapText="1"/>
    </xf>
    <xf numFmtId="0" fontId="16" fillId="9" borderId="6" xfId="0" applyFont="1" applyFill="1" applyBorder="1" applyAlignment="1">
      <alignment horizontal="center" vertical="center" wrapText="1"/>
    </xf>
    <xf numFmtId="0" fontId="16" fillId="9" borderId="2" xfId="0" applyFont="1" applyFill="1" applyBorder="1" applyAlignment="1">
      <alignment horizontal="center" vertical="center" wrapText="1"/>
    </xf>
    <xf numFmtId="2" fontId="26" fillId="9" borderId="7" xfId="0" applyNumberFormat="1" applyFont="1" applyFill="1" applyBorder="1" applyAlignment="1">
      <alignment horizontal="center" wrapText="1"/>
    </xf>
    <xf numFmtId="2" fontId="26" fillId="9" borderId="4" xfId="0" applyNumberFormat="1" applyFont="1" applyFill="1" applyBorder="1" applyAlignment="1">
      <alignment horizontal="center" wrapText="1"/>
    </xf>
    <xf numFmtId="2" fontId="26" fillId="9" borderId="3" xfId="0" applyNumberFormat="1" applyFont="1" applyFill="1" applyBorder="1" applyAlignment="1">
      <alignment horizontal="center" wrapText="1"/>
    </xf>
    <xf numFmtId="2" fontId="17" fillId="9" borderId="7" xfId="0" applyNumberFormat="1" applyFont="1" applyFill="1" applyBorder="1" applyAlignment="1">
      <alignment horizontal="center" vertical="center" wrapText="1"/>
    </xf>
    <xf numFmtId="2" fontId="17" fillId="9" borderId="4" xfId="0" applyNumberFormat="1" applyFont="1" applyFill="1" applyBorder="1" applyAlignment="1">
      <alignment horizontal="center" vertical="center" wrapText="1"/>
    </xf>
    <xf numFmtId="2" fontId="17" fillId="9" borderId="3" xfId="0" applyNumberFormat="1" applyFont="1" applyFill="1" applyBorder="1" applyAlignment="1">
      <alignment horizontal="center" vertical="center" wrapText="1"/>
    </xf>
    <xf numFmtId="0" fontId="16" fillId="9" borderId="1" xfId="8" applyFont="1" applyFill="1" applyBorder="1" applyAlignment="1">
      <alignment horizontal="center" vertical="center" wrapText="1"/>
    </xf>
    <xf numFmtId="0" fontId="17" fillId="9" borderId="1" xfId="8" applyFont="1" applyFill="1" applyBorder="1" applyAlignment="1">
      <alignment horizontal="center" vertical="center" wrapText="1"/>
    </xf>
    <xf numFmtId="0" fontId="16" fillId="9" borderId="3" xfId="0" applyFont="1" applyFill="1" applyBorder="1" applyAlignment="1">
      <alignment horizontal="center" vertical="center" wrapText="1"/>
    </xf>
    <xf numFmtId="0" fontId="16" fillId="9" borderId="1" xfId="0" applyFont="1" applyFill="1" applyBorder="1" applyAlignment="1">
      <alignment horizontal="center" vertical="center" wrapText="1"/>
    </xf>
    <xf numFmtId="0" fontId="17" fillId="9" borderId="1" xfId="0" applyFont="1" applyFill="1" applyBorder="1" applyAlignment="1">
      <alignment horizontal="center" wrapText="1"/>
    </xf>
    <xf numFmtId="2" fontId="26" fillId="9" borderId="1" xfId="0" applyNumberFormat="1" applyFont="1" applyFill="1" applyBorder="1" applyAlignment="1">
      <alignment horizontal="center" vertical="center" wrapText="1"/>
    </xf>
    <xf numFmtId="2" fontId="26" fillId="9" borderId="1" xfId="0" applyNumberFormat="1" applyFont="1" applyFill="1" applyBorder="1" applyAlignment="1">
      <alignment horizontal="center" wrapText="1"/>
    </xf>
    <xf numFmtId="0" fontId="26" fillId="0" borderId="1" xfId="0" applyFont="1" applyFill="1" applyBorder="1" applyAlignment="1">
      <alignment horizontal="center" vertical="center" wrapText="1"/>
    </xf>
    <xf numFmtId="1" fontId="17" fillId="9" borderId="1" xfId="8" applyNumberFormat="1" applyFont="1" applyFill="1" applyBorder="1" applyAlignment="1">
      <alignment horizontal="center" vertical="center" wrapText="1"/>
    </xf>
    <xf numFmtId="1" fontId="22" fillId="9" borderId="1" xfId="0" applyNumberFormat="1" applyFont="1" applyFill="1" applyBorder="1" applyAlignment="1">
      <alignment horizontal="center" vertical="center" wrapText="1"/>
    </xf>
    <xf numFmtId="3" fontId="22" fillId="9" borderId="6" xfId="0" applyNumberFormat="1" applyFont="1" applyFill="1" applyBorder="1" applyAlignment="1">
      <alignment horizontal="center" vertical="center" wrapText="1"/>
    </xf>
    <xf numFmtId="3" fontId="22" fillId="9" borderId="2" xfId="0" applyNumberFormat="1" applyFont="1" applyFill="1" applyBorder="1" applyAlignment="1">
      <alignment horizontal="center" vertical="center" wrapText="1"/>
    </xf>
    <xf numFmtId="2" fontId="26" fillId="0" borderId="1" xfId="0" applyNumberFormat="1" applyFont="1" applyFill="1" applyBorder="1" applyAlignment="1">
      <alignment horizontal="center" vertical="center" wrapText="1"/>
    </xf>
    <xf numFmtId="2" fontId="17" fillId="0" borderId="1" xfId="0" applyNumberFormat="1" applyFont="1" applyFill="1" applyBorder="1" applyAlignment="1">
      <alignment horizontal="center" vertical="center" wrapText="1"/>
    </xf>
    <xf numFmtId="0" fontId="17" fillId="9" borderId="0" xfId="0" applyFont="1" applyFill="1" applyAlignment="1">
      <alignment horizontal="center"/>
    </xf>
    <xf numFmtId="0" fontId="25" fillId="9" borderId="6" xfId="0" applyFont="1" applyFill="1" applyBorder="1" applyAlignment="1">
      <alignment horizontal="center" vertical="center" wrapText="1"/>
    </xf>
    <xf numFmtId="0" fontId="25" fillId="9" borderId="2" xfId="0" applyFont="1" applyFill="1" applyBorder="1" applyAlignment="1">
      <alignment horizontal="center" vertical="center" wrapText="1"/>
    </xf>
    <xf numFmtId="0" fontId="25" fillId="9" borderId="0" xfId="0" applyFont="1" applyFill="1" applyAlignment="1">
      <alignment horizontal="center"/>
    </xf>
    <xf numFmtId="0" fontId="16" fillId="9" borderId="0" xfId="0" applyFont="1" applyFill="1" applyBorder="1" applyAlignment="1">
      <alignment horizontal="center" vertical="center"/>
    </xf>
    <xf numFmtId="0" fontId="22" fillId="9" borderId="1" xfId="0" applyFont="1" applyFill="1" applyBorder="1" applyAlignment="1">
      <alignment horizontal="left" vertical="center" wrapText="1"/>
    </xf>
    <xf numFmtId="2" fontId="16" fillId="9" borderId="1" xfId="0" applyNumberFormat="1" applyFont="1" applyFill="1" applyBorder="1" applyAlignment="1">
      <alignment horizontal="center" vertical="center" wrapText="1"/>
    </xf>
    <xf numFmtId="3" fontId="16" fillId="9" borderId="1" xfId="0" applyNumberFormat="1" applyFont="1" applyFill="1" applyBorder="1" applyAlignment="1">
      <alignment horizontal="center" vertical="center" wrapText="1"/>
    </xf>
    <xf numFmtId="0" fontId="16" fillId="9" borderId="0" xfId="0" applyFont="1" applyFill="1" applyBorder="1" applyAlignment="1">
      <alignment horizontal="center" vertical="center" wrapText="1"/>
    </xf>
    <xf numFmtId="0" fontId="16" fillId="9" borderId="8" xfId="0" applyFont="1" applyFill="1" applyBorder="1" applyAlignment="1">
      <alignment horizontal="center" vertical="center" wrapText="1"/>
    </xf>
    <xf numFmtId="0" fontId="26" fillId="9" borderId="1" xfId="0" applyFont="1" applyFill="1" applyBorder="1" applyAlignment="1">
      <alignment horizontal="center" vertical="center" wrapText="1"/>
    </xf>
    <xf numFmtId="0" fontId="25" fillId="9" borderId="8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" fillId="0" borderId="1" xfId="8" applyFont="1" applyBorder="1" applyAlignment="1">
      <alignment horizontal="center" vertical="center" wrapText="1"/>
    </xf>
    <xf numFmtId="0" fontId="10" fillId="0" borderId="1" xfId="8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2" fontId="13" fillId="8" borderId="7" xfId="0" applyNumberFormat="1" applyFont="1" applyFill="1" applyBorder="1" applyAlignment="1">
      <alignment horizontal="center" vertical="center" wrapText="1"/>
    </xf>
    <xf numFmtId="2" fontId="13" fillId="8" borderId="4" xfId="0" applyNumberFormat="1" applyFont="1" applyFill="1" applyBorder="1" applyAlignment="1">
      <alignment horizontal="center" vertical="center" wrapText="1"/>
    </xf>
    <xf numFmtId="2" fontId="13" fillId="8" borderId="3" xfId="0" applyNumberFormat="1" applyFont="1" applyFill="1" applyBorder="1" applyAlignment="1">
      <alignment horizontal="center" vertical="center" wrapText="1"/>
    </xf>
    <xf numFmtId="0" fontId="16" fillId="0" borderId="1" xfId="8" applyFont="1" applyBorder="1" applyAlignment="1">
      <alignment horizontal="center" vertical="center" wrapText="1"/>
    </xf>
    <xf numFmtId="0" fontId="17" fillId="4" borderId="6" xfId="8" applyFont="1" applyFill="1" applyBorder="1" applyAlignment="1">
      <alignment horizontal="center" vertical="center" wrapText="1"/>
    </xf>
    <xf numFmtId="0" fontId="17" fillId="4" borderId="2" xfId="8" applyFont="1" applyFill="1" applyBorder="1" applyAlignment="1">
      <alignment horizontal="center" vertical="center" wrapText="1"/>
    </xf>
    <xf numFmtId="0" fontId="16" fillId="9" borderId="0" xfId="0" applyFont="1" applyFill="1" applyAlignment="1">
      <alignment horizontal="center" vertical="center" wrapText="1"/>
    </xf>
  </cellXfs>
  <cellStyles count="9">
    <cellStyle name="Обычный" xfId="0" builtinId="0"/>
    <cellStyle name="Обычный 2" xfId="1"/>
    <cellStyle name="Обычный 2 2" xfId="2"/>
    <cellStyle name="Обычный 3" xfId="3"/>
    <cellStyle name="Обычный 4" xfId="4"/>
    <cellStyle name="Обычный 6" xfId="5"/>
    <cellStyle name="Обычный 7" xfId="6"/>
    <cellStyle name="Обычный 9" xfId="7"/>
    <cellStyle name="Обычный_Лист2" xfId="8"/>
  </cellStyles>
  <dxfs count="23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epsoc16/&#1052;&#1086;&#1080;%20&#1076;&#1086;&#1082;&#1091;&#1084;&#1077;&#1085;&#1090;&#1099;/&#1057;&#1090;&#1072;&#1094;&#1080;&#1086;&#1085;&#1072;&#1088;&#1099;/&#1058;&#1072;&#1088;&#1080;&#1092;&#1099;%202012%20&#1075;&#1086;&#1076;/&#1076;&#1083;&#1103;%20&#1055;&#1056;&#1045;&#1044;&#1045;&#1051;&#1054;&#1042;!!!!(&#1087;&#1086;&#1089;&#1083;&#1077;&#1076;&#1085;&#1080;&#1081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&#1040;&#1076;&#1084;&#1080;&#1085;&#1080;&#1089;&#1090;&#1088;&#1072;&#1090;&#1086;&#1088;/&#1056;&#1072;&#1073;&#1086;&#1095;&#1080;&#1081;%20&#1089;&#1090;&#1086;&#1083;/&#1055;&#1054;&#1057;&#1051;&#1045;&#1044;&#1053;&#1048;&#1049;%20&#1042;&#1040;&#1056;/&#1052;&#1045;&#1058;&#1054;&#1044;&#1048;&#1050;&#1040;%20&#1056;&#1040;&#1057;&#1063;&#1045;&#1058;&#104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НАДОМКА"/>
      <sheetName val="ПОЛУСТАЦ (инвалиды)"/>
      <sheetName val="СТАЦ,(пожил.)"/>
      <sheetName val="Семья, женщ. и дети"/>
      <sheetName val="БОМЖ"/>
    </sheetNames>
    <sheetDataSet>
      <sheetData sheetId="0" refreshError="1">
        <row r="1">
          <cell r="F1" t="str">
            <v>КЦСОН Тюменского района</v>
          </cell>
          <cell r="G1" t="str">
            <v>МАУ ЦСОН г. Тобольск</v>
          </cell>
          <cell r="H1" t="str">
            <v>МАУ ЦСОН          г. Ишим "Забота"</v>
          </cell>
          <cell r="I1" t="str">
            <v>АУ СОН ТО "ОЦРН"</v>
          </cell>
          <cell r="L1" t="str">
            <v>МАУ  КЦСОН Армизон р-н</v>
          </cell>
          <cell r="M1" t="str">
            <v>МАУ ЦСОН Омутинского р-на</v>
          </cell>
          <cell r="Q1" t="str">
            <v>АУ КЦСОН Бердюж. р-на</v>
          </cell>
          <cell r="R1" t="str">
            <v>АУ КЦСОН "Забота" Исетского р-на</v>
          </cell>
          <cell r="W1" t="str">
            <v>МАУ КЦСОН Викуловского р-на</v>
          </cell>
          <cell r="AA1" t="str">
            <v>МАУ КЦСОН Вагайского р-на</v>
          </cell>
          <cell r="AB1" t="str">
            <v>МАУ КЦСОН Казанского р-на</v>
          </cell>
          <cell r="AC1" t="str">
            <v>МАУ КЦСОН "Тавда"</v>
          </cell>
          <cell r="AE1" t="str">
            <v>АУСОН ТО СРЦН г. Тобольска</v>
          </cell>
          <cell r="AF1" t="str">
            <v>АУСОН ТО СРЦН с. Омутинское</v>
          </cell>
          <cell r="AH1" t="str">
            <v>МАУ КЦСОН "Милосердие" Абатского р-на</v>
          </cell>
          <cell r="AI1" t="str">
            <v>АУ Аромашевский КЦСОН</v>
          </cell>
          <cell r="AJ1" t="str">
            <v>МАУ КЦСОН Голышмановского р-на</v>
          </cell>
          <cell r="AK1" t="str">
            <v>МАУ КЦСОН Сорокинского р-на</v>
          </cell>
          <cell r="AL1" t="str">
            <v>АУ КЦСОН Юргинского р-на</v>
          </cell>
          <cell r="AM1" t="str">
            <v>МАУ КЦСОН Ялуторовского р-на</v>
          </cell>
        </row>
        <row r="115">
          <cell r="A115" t="str">
            <v>2. Полустационарное социальное обслуживание инвалидов, в том числе детей-инвалидов</v>
          </cell>
        </row>
        <row r="117">
          <cell r="A117" t="str">
            <v>Социально-бытовые услуги</v>
          </cell>
        </row>
        <row r="118">
          <cell r="B118" t="str">
            <v>1 раз в день</v>
          </cell>
        </row>
        <row r="119">
          <cell r="B119" t="str">
            <v>1 услуга</v>
          </cell>
        </row>
        <row r="120">
          <cell r="B120" t="str">
            <v>1 услуга</v>
          </cell>
        </row>
        <row r="121">
          <cell r="A121" t="str">
            <v>Социально-медицинские услуги</v>
          </cell>
        </row>
        <row r="122">
          <cell r="B122" t="str">
            <v>1 услуга</v>
          </cell>
        </row>
        <row r="125">
          <cell r="A125" t="str">
            <v xml:space="preserve"> - общий массаж</v>
          </cell>
          <cell r="B125" t="str">
            <v>1 услуга</v>
          </cell>
        </row>
        <row r="126">
          <cell r="A126" t="str">
            <v>Проведение процедур лечебной гимнастики инструктором - методистом по лечебной физкультуре:</v>
          </cell>
        </row>
        <row r="127">
          <cell r="A127" t="str">
            <v>Для детей школьного возраста:</v>
          </cell>
        </row>
        <row r="128">
          <cell r="A128" t="str">
            <v xml:space="preserve"> - при индивидуальном методе занятий</v>
          </cell>
          <cell r="B128" t="str">
            <v>1 услуга</v>
          </cell>
        </row>
        <row r="129">
          <cell r="A129" t="str">
            <v xml:space="preserve"> - при групповом методе занятий ( 3 и более  человек ) </v>
          </cell>
          <cell r="B129" t="str">
            <v>1 услуга</v>
          </cell>
        </row>
        <row r="130">
          <cell r="A130" t="str">
            <v>Для детей дошкольного возраста:</v>
          </cell>
        </row>
        <row r="131">
          <cell r="A131" t="str">
            <v xml:space="preserve"> - при индивидуальном методе занятий</v>
          </cell>
          <cell r="B131" t="str">
            <v>1 услуга</v>
          </cell>
        </row>
        <row r="132">
          <cell r="A132" t="str">
            <v xml:space="preserve"> - при групповом методе занятий ( 5 чел. ) </v>
          </cell>
          <cell r="B132" t="str">
            <v>1 услуга</v>
          </cell>
        </row>
        <row r="133">
          <cell r="A133" t="str">
            <v xml:space="preserve">Обучающее занятие адаптивной физической культуре( индивидуально)   </v>
          </cell>
          <cell r="B133" t="str">
            <v>1 услуга</v>
          </cell>
        </row>
        <row r="134">
          <cell r="A134" t="str">
            <v>Обучающее занятие адаптивной физической культуре (групповые - 2 чел. )</v>
          </cell>
          <cell r="B134" t="str">
            <v>1 услуга</v>
          </cell>
        </row>
        <row r="135">
          <cell r="A135" t="str">
            <v>Занятия в группе настольного тенниса ( индивидуально )</v>
          </cell>
          <cell r="B135" t="str">
            <v>1 услуга</v>
          </cell>
        </row>
        <row r="136">
          <cell r="A136" t="str">
            <v xml:space="preserve">Занятия в группе настольного тенниса ( групповые - 2 чел. ) </v>
          </cell>
          <cell r="B136" t="str">
            <v>1 услуга</v>
          </cell>
        </row>
        <row r="137">
          <cell r="A137" t="str">
            <v>Пальчиковая гимнастика ( групповые занятия – 3 чел. )</v>
          </cell>
          <cell r="B137" t="str">
            <v>1 услуга</v>
          </cell>
        </row>
        <row r="138">
          <cell r="A138" t="str">
            <v xml:space="preserve">Приём врача - физиотерапевта      </v>
          </cell>
          <cell r="B138" t="str">
            <v>1 услуга</v>
          </cell>
        </row>
        <row r="139">
          <cell r="A139" t="str">
            <v>Амплипульстерапия</v>
          </cell>
          <cell r="B139" t="str">
            <v>1 услуга</v>
          </cell>
        </row>
        <row r="140">
          <cell r="A140" t="str">
            <v>Дарсонвализация:</v>
          </cell>
          <cell r="B140" t="str">
            <v>1 услуга</v>
          </cell>
        </row>
        <row r="141">
          <cell r="A141" t="str">
            <v xml:space="preserve"> - местная ( голова, шейно-воротниковая зона )</v>
          </cell>
          <cell r="B141" t="str">
            <v>1 услуга</v>
          </cell>
        </row>
        <row r="142">
          <cell r="A142" t="str">
            <v xml:space="preserve"> - полостная ( нос, ухо )</v>
          </cell>
          <cell r="B142" t="str">
            <v>1 услуга</v>
          </cell>
        </row>
        <row r="143">
          <cell r="A143" t="str">
            <v>Магнитотерапия</v>
          </cell>
          <cell r="B143" t="str">
            <v>1 услуга</v>
          </cell>
        </row>
        <row r="144">
          <cell r="A144" t="str">
            <v>Лазеротерапия</v>
          </cell>
          <cell r="B144" t="str">
            <v>1 услуга</v>
          </cell>
        </row>
        <row r="145">
          <cell r="A145" t="str">
            <v>КВЧ терапия</v>
          </cell>
          <cell r="B145" t="str">
            <v>1 услуга</v>
          </cell>
        </row>
        <row r="146">
          <cell r="A146" t="str">
            <v>УВЧ терапия</v>
          </cell>
          <cell r="B146" t="str">
            <v>1 услуга</v>
          </cell>
        </row>
        <row r="147">
          <cell r="A147" t="str">
            <v>Ультразвуковая терапия</v>
          </cell>
          <cell r="B147" t="str">
            <v>1 услуга</v>
          </cell>
        </row>
        <row r="148">
          <cell r="A148" t="str">
            <v>Оздоровительный сеанс лампы Чижевского  (индивидуально )</v>
          </cell>
          <cell r="B148" t="str">
            <v>1 услуга</v>
          </cell>
        </row>
        <row r="149">
          <cell r="A149" t="str">
            <v>Оздоровительный сеанс лампы Чижевского (групповые - 5 чел. )</v>
          </cell>
          <cell r="B149" t="str">
            <v>1 услуга</v>
          </cell>
        </row>
        <row r="153">
          <cell r="B153" t="str">
            <v>1 услуга</v>
          </cell>
        </row>
        <row r="154">
          <cell r="A154" t="str">
            <v>Социально-психологические услуги</v>
          </cell>
        </row>
        <row r="155">
          <cell r="B155" t="str">
            <v>1 услуга</v>
          </cell>
        </row>
        <row r="156">
          <cell r="B156" t="str">
            <v>1 услуга</v>
          </cell>
        </row>
        <row r="159">
          <cell r="A159" t="str">
            <v xml:space="preserve"> - тренировка памяти, внимания, мышления </v>
          </cell>
          <cell r="B159" t="str">
            <v>1 услуга</v>
          </cell>
        </row>
        <row r="160">
          <cell r="A160" t="str">
            <v xml:space="preserve"> - психологическая релаксация в сенсорной комнате  - групповое    (от 3 человек и больше)</v>
          </cell>
          <cell r="B160" t="str">
            <v>1 услуга</v>
          </cell>
        </row>
        <row r="161">
          <cell r="A161" t="str">
            <v xml:space="preserve"> - психологическая релаксация в сенсорной комнате  -  индивидуально</v>
          </cell>
          <cell r="B161" t="str">
            <v>1 услуга</v>
          </cell>
        </row>
        <row r="162">
          <cell r="A162" t="str">
            <v xml:space="preserve"> - психологическая помощь при затруднениях в детско-родительских отношениях - индивидуально</v>
          </cell>
          <cell r="B162" t="str">
            <v>1 услуга</v>
          </cell>
        </row>
        <row r="163">
          <cell r="A163" t="str">
            <v xml:space="preserve"> - психологическая помощь при затруднениях в детско-родительских отношениях - групповое -2 чел.</v>
          </cell>
          <cell r="B163" t="str">
            <v>1 услуга</v>
          </cell>
        </row>
        <row r="164">
          <cell r="A164" t="str">
            <v xml:space="preserve"> - коррекция эмоциональной сферы, навыков общения </v>
          </cell>
          <cell r="B164" t="str">
            <v>1 услуга</v>
          </cell>
        </row>
        <row r="165">
          <cell r="A165" t="str">
            <v xml:space="preserve"> - тренинг общения, уверенности в себе - групповое -  2 чел.</v>
          </cell>
          <cell r="B165" t="str">
            <v>1 услуга</v>
          </cell>
        </row>
        <row r="166">
          <cell r="A166" t="str">
            <v xml:space="preserve"> - индивидуальное консультирование</v>
          </cell>
          <cell r="B166" t="str">
            <v>1 услуга</v>
          </cell>
        </row>
        <row r="167">
          <cell r="B167" t="str">
            <v>1 услуга</v>
          </cell>
        </row>
        <row r="168">
          <cell r="A168" t="str">
            <v>Социально-педагогические услуги</v>
          </cell>
        </row>
        <row r="169">
          <cell r="B169" t="str">
            <v>1 услуга</v>
          </cell>
        </row>
        <row r="170">
          <cell r="B170" t="str">
            <v>1 услуга</v>
          </cell>
        </row>
        <row r="174">
          <cell r="B174" t="str">
            <v>1 услуга</v>
          </cell>
        </row>
        <row r="175">
          <cell r="B175" t="str">
            <v>1 услуга</v>
          </cell>
        </row>
        <row r="176">
          <cell r="B176" t="str">
            <v>1 услуга</v>
          </cell>
        </row>
        <row r="178">
          <cell r="A178" t="str">
            <v>Социально-правовые услуги</v>
          </cell>
        </row>
        <row r="181">
          <cell r="A181" t="str">
            <v>Социально-бытовые услуги</v>
          </cell>
        </row>
        <row r="182">
          <cell r="B182" t="str">
            <v>1 раз в день</v>
          </cell>
        </row>
        <row r="183">
          <cell r="A183" t="str">
            <v>Консультирование по вопросам социально-бытовой адаптации и социально-средовой реабилитации</v>
          </cell>
          <cell r="B183" t="str">
            <v>1 услуга</v>
          </cell>
        </row>
        <row r="184">
          <cell r="A184" t="str">
            <v>Оказание содействия в реализации мероприятий по социально-бытовой адаптации</v>
          </cell>
          <cell r="B184" t="str">
            <v>1 услуга</v>
          </cell>
        </row>
        <row r="185">
          <cell r="A185" t="str">
            <v>Социально-медицинские услуги</v>
          </cell>
        </row>
        <row r="186">
          <cell r="A186" t="str">
            <v>Консультирование по вопросам социально-медицинской реабилитации</v>
          </cell>
          <cell r="B186" t="str">
            <v>1 услуга</v>
          </cell>
        </row>
        <row r="189">
          <cell r="A189" t="str">
            <v xml:space="preserve"> - массаж головы (лобно-височной и затылочно-теменной области) - 1 ед.</v>
          </cell>
          <cell r="B189" t="str">
            <v>1 услуга</v>
          </cell>
        </row>
        <row r="190">
          <cell r="A190" t="str">
            <v xml:space="preserve"> - массаж лица (лобной, окологлазничной, верхне- и нижнечелюстной области ) -1 ед.</v>
          </cell>
          <cell r="B190" t="str">
            <v>1 услуга</v>
          </cell>
        </row>
        <row r="191">
          <cell r="A191" t="str">
            <v xml:space="preserve"> - массаж шеи - 1 ед.</v>
          </cell>
          <cell r="B191" t="str">
            <v>1 услуга</v>
          </cell>
        </row>
        <row r="192">
          <cell r="A192" t="str">
            <v xml:space="preserve"> - массаж воротниковой зоны ( задней поверхности шеи, спины до уровня 4-го грудного позвонка, передней поверхности грудной клетки до 2-го ребра - 1,5 ед.</v>
          </cell>
          <cell r="B192" t="str">
            <v>1 услуга</v>
          </cell>
        </row>
        <row r="193">
          <cell r="A193" t="str">
            <v xml:space="preserve"> - массаж  верхней конечности - 1,5 ед.</v>
          </cell>
          <cell r="B193" t="str">
            <v>1 услуга</v>
          </cell>
        </row>
        <row r="194">
          <cell r="A194" t="str">
            <v xml:space="preserve"> - массаж верхней конечности, надплечья и области лопатки - 2 ед.</v>
          </cell>
          <cell r="B194" t="str">
            <v>1 услуга</v>
          </cell>
        </row>
        <row r="195">
          <cell r="A195" t="str">
            <v xml:space="preserve"> - массаж плечевого сустава ( верхней трети плеча, области плечевого сустава и надплечья одноимённой стороны ) - 1 ед.</v>
          </cell>
          <cell r="B195" t="str">
            <v>1 услуга</v>
          </cell>
        </row>
        <row r="196">
          <cell r="A196" t="str">
            <v xml:space="preserve"> - массаж локтевого сустава ( верхней трети предплечья, области локтевого сустава и нижней трети плеча ) - 1 ед.</v>
          </cell>
          <cell r="B196" t="str">
            <v>1 услуга</v>
          </cell>
        </row>
        <row r="197">
          <cell r="A197" t="str">
            <v xml:space="preserve"> - массаж лучезапястного сустава ( проксимального отдела кисти, области лучезапястного сустава и предплечья ) - 1 ед.</v>
          </cell>
          <cell r="B197" t="str">
            <v>1 услуга</v>
          </cell>
        </row>
        <row r="198">
          <cell r="A198" t="str">
            <v xml:space="preserve"> - массаж кисти и предплечья - 1 ед.</v>
          </cell>
          <cell r="B198" t="str">
            <v>1 услуга</v>
          </cell>
        </row>
        <row r="199">
          <cell r="A199" t="str">
            <v xml:space="preserve"> - массаж области грудной клетки ( области передней поверхности грудной клетки от передних границ надплечья до рёберных дуг и области  спины от 7-го до 1-го поясничного позвонка ) - 2,5 ед.</v>
          </cell>
          <cell r="B199" t="str">
            <v>1 услуга</v>
          </cell>
        </row>
        <row r="200">
          <cell r="A200" t="str">
            <v xml:space="preserve"> - массаж спины ( от 8-го шейного до 1-го поясничного позвонка и от левой до правой средней подмышечной линии, у детей - включая пояснично-крестцовую область ) - 1.5 ед.</v>
          </cell>
          <cell r="B200" t="str">
            <v>1 услуга</v>
          </cell>
        </row>
        <row r="201">
          <cell r="A201" t="str">
            <v xml:space="preserve"> - массаж мышц передней брюшной стенки - 1 ед.</v>
          </cell>
          <cell r="B201" t="str">
            <v>1 услуга</v>
          </cell>
        </row>
        <row r="202">
          <cell r="A202" t="str">
            <v xml:space="preserve"> - массаж пояснично-крестцовой области ( от 1-го поясничного позвонка до нижних ягодичных складок) - 1 ед.</v>
          </cell>
          <cell r="B202" t="str">
            <v>1 услуга</v>
          </cell>
        </row>
        <row r="203">
          <cell r="A203" t="str">
            <v xml:space="preserve"> - массаж области позвоночника (задней поверхности шеи, спины и пояснично-крестцовой области от левой до правой задней подмышечной линии ) - 2,5 ед.</v>
          </cell>
          <cell r="B203" t="str">
            <v>1 услуга</v>
          </cell>
        </row>
        <row r="204">
          <cell r="A204" t="str">
            <v xml:space="preserve"> - массаж нижней конечности - 1,5 ед.</v>
          </cell>
          <cell r="B204" t="str">
            <v>1 услуга</v>
          </cell>
        </row>
        <row r="205">
          <cell r="A205" t="str">
            <v xml:space="preserve"> - массаж нижней конечности и поясницы ( области стопы, голени, бедра, ягодичной и пояснично-крестцовой области ) - 2 ед.</v>
          </cell>
          <cell r="B205" t="str">
            <v>1 услуга</v>
          </cell>
        </row>
        <row r="206">
          <cell r="A206" t="str">
            <v xml:space="preserve"> - массаж тазобедренного сустава и ягодичной   - 1 ед.</v>
          </cell>
          <cell r="B206" t="str">
            <v>1 услуга</v>
          </cell>
        </row>
        <row r="207">
          <cell r="A207" t="str">
            <v xml:space="preserve"> - массаж коленного сустава ( верхней трети голени, области коленного сустава и нижней трети бедра ) - 1 ед.</v>
          </cell>
          <cell r="B207" t="str">
            <v>1 услуга</v>
          </cell>
        </row>
        <row r="208">
          <cell r="A208" t="str">
            <v xml:space="preserve"> - массаж голеностопного сустава ( проксимального отдела стопы, области голеностопного сустава и нижней трети голени ) - 1 ед.</v>
          </cell>
          <cell r="B208" t="str">
            <v>1 услуга</v>
          </cell>
        </row>
        <row r="209">
          <cell r="A209" t="str">
            <v xml:space="preserve"> - массаж стопы и голени - 1 ед.</v>
          </cell>
          <cell r="B209" t="str">
            <v>1 услуга</v>
          </cell>
        </row>
        <row r="210">
          <cell r="A210" t="str">
            <v>Проведение процедур адаптивной (лечебной)  гимнастики инструктором - методистом по адаптивной  физкультуре:</v>
          </cell>
          <cell r="B210" t="str">
            <v>1 услуга</v>
          </cell>
        </row>
        <row r="211">
          <cell r="A211" t="str">
            <v xml:space="preserve"> - для инвалидов с заболеваниями внутренних органов</v>
          </cell>
          <cell r="B211" t="str">
            <v>1 услуга</v>
          </cell>
        </row>
        <row r="212">
          <cell r="A212" t="str">
            <v xml:space="preserve"> - при травмах позвоночника и таза после иммобилизации (индивидуальные занятия)</v>
          </cell>
          <cell r="B212" t="str">
            <v>1 услуга</v>
          </cell>
        </row>
        <row r="213">
          <cell r="A213" t="str">
            <v xml:space="preserve"> - при травмах позвоночника с поражением спинного мозга</v>
          </cell>
          <cell r="B213" t="str">
            <v>1 услуга</v>
          </cell>
        </row>
        <row r="214">
          <cell r="A214" t="str">
            <v xml:space="preserve"> - для неврологических больных ( индивидуальные занятия )</v>
          </cell>
          <cell r="B214" t="str">
            <v>1 услуга</v>
          </cell>
        </row>
        <row r="215">
          <cell r="A215" t="str">
            <v xml:space="preserve"> - обучающее занятие адаптивной физической культуре    </v>
          </cell>
          <cell r="B215" t="str">
            <v>1 услуга</v>
          </cell>
        </row>
        <row r="216">
          <cell r="A216" t="str">
            <v xml:space="preserve"> -занятия в группе настольного тенниса ( групповые - 2 чел. ) </v>
          </cell>
          <cell r="B216" t="str">
            <v>1 услуга</v>
          </cell>
        </row>
        <row r="217">
          <cell r="A217" t="str">
            <v xml:space="preserve"> - приём врача - физиотерапевта      </v>
          </cell>
          <cell r="B217" t="str">
            <v>1 услуга</v>
          </cell>
        </row>
        <row r="218">
          <cell r="A218" t="str">
            <v xml:space="preserve"> - амплипульстерапия</v>
          </cell>
          <cell r="B218" t="str">
            <v>1 услуга</v>
          </cell>
        </row>
        <row r="219">
          <cell r="A219" t="str">
            <v>Дарсонвализация:</v>
          </cell>
        </row>
        <row r="220">
          <cell r="A220" t="str">
            <v xml:space="preserve"> - местная ( голова, шейно-воротниковая зона )</v>
          </cell>
          <cell r="B220" t="str">
            <v>1 услуга</v>
          </cell>
        </row>
        <row r="221">
          <cell r="A221" t="str">
            <v xml:space="preserve"> - полостная ( нос, ухо )</v>
          </cell>
          <cell r="B221" t="str">
            <v>1 услуга</v>
          </cell>
        </row>
        <row r="222">
          <cell r="A222" t="str">
            <v>Магнитотерапия</v>
          </cell>
          <cell r="B222" t="str">
            <v>1 услуга</v>
          </cell>
        </row>
        <row r="223">
          <cell r="A223" t="str">
            <v>Лазеротерапия</v>
          </cell>
          <cell r="B223" t="str">
            <v>1 услуга</v>
          </cell>
        </row>
        <row r="224">
          <cell r="A224" t="str">
            <v>КВЧ терапия</v>
          </cell>
          <cell r="B224" t="str">
            <v>1 услуга</v>
          </cell>
        </row>
        <row r="225">
          <cell r="A225" t="str">
            <v>УВЧ терапия</v>
          </cell>
          <cell r="B225" t="str">
            <v>1 услуга</v>
          </cell>
        </row>
        <row r="226">
          <cell r="A226" t="str">
            <v>Ультразвуковая терапия</v>
          </cell>
          <cell r="B226" t="str">
            <v>1 услуга</v>
          </cell>
        </row>
        <row r="227">
          <cell r="A227" t="str">
            <v>Оздоровительный сеанс лампы Чижевского ( индивидуально )</v>
          </cell>
          <cell r="B227" t="str">
            <v>1 услуга</v>
          </cell>
        </row>
        <row r="228">
          <cell r="A228" t="str">
            <v>Оздоровительный сеанс лампы Чижевского ( групповые - 5 чел. )</v>
          </cell>
          <cell r="B228" t="str">
            <v>1 услуга</v>
          </cell>
        </row>
        <row r="229">
          <cell r="A229" t="str">
            <v>Пальчиковая гимнастика ( групповые занятия – 3 чел. )</v>
          </cell>
          <cell r="B229" t="str">
            <v>1 услуга</v>
          </cell>
        </row>
        <row r="233">
          <cell r="A233" t="str">
            <v>Социально-психологические услуги</v>
          </cell>
        </row>
        <row r="234">
          <cell r="B234" t="str">
            <v>1 услуга</v>
          </cell>
        </row>
        <row r="235">
          <cell r="B235" t="str">
            <v>1 услуга</v>
          </cell>
        </row>
        <row r="238">
          <cell r="B238" t="str">
            <v>1 услуга</v>
          </cell>
        </row>
        <row r="239">
          <cell r="A239" t="str">
            <v>Социально-педагогические услуги</v>
          </cell>
        </row>
        <row r="240">
          <cell r="B240" t="str">
            <v>1 услуга</v>
          </cell>
        </row>
        <row r="241">
          <cell r="B241" t="str">
            <v>1 услуга</v>
          </cell>
        </row>
        <row r="245">
          <cell r="B245" t="str">
            <v>1 услуга</v>
          </cell>
        </row>
        <row r="246">
          <cell r="B246" t="str">
            <v>1 услуга</v>
          </cell>
        </row>
        <row r="247">
          <cell r="B247" t="str">
            <v>1 услуга</v>
          </cell>
        </row>
        <row r="248">
          <cell r="B248" t="str">
            <v>1 услуга</v>
          </cell>
        </row>
        <row r="249">
          <cell r="A249" t="str">
            <v>Социально-правовые услуги</v>
          </cell>
        </row>
        <row r="250">
          <cell r="B250" t="str">
            <v>1 услуга</v>
          </cell>
        </row>
        <row r="757">
          <cell r="A757" t="str">
            <v>Социально-бытовые услуги</v>
          </cell>
        </row>
        <row r="758">
          <cell r="A758" t="str">
            <v>Временное размещение</v>
          </cell>
          <cell r="C758">
            <v>141.4528442062421</v>
          </cell>
          <cell r="E758">
            <v>71.676510199260093</v>
          </cell>
        </row>
        <row r="759">
          <cell r="A759" t="str">
            <v>Обеспечение горячим питанием или продуктовым набором</v>
          </cell>
          <cell r="C759">
            <v>863.12402626352775</v>
          </cell>
          <cell r="E759">
            <v>272.32200609911661</v>
          </cell>
        </row>
        <row r="760">
          <cell r="A760" t="str">
            <v xml:space="preserve">Предоставление в пользование мебели </v>
          </cell>
        </row>
        <row r="761">
          <cell r="A761" t="str">
            <v>Кровать с матрацем</v>
          </cell>
          <cell r="C761">
            <v>133.31845238095238</v>
          </cell>
          <cell r="E761">
            <v>40.223214285714292</v>
          </cell>
        </row>
        <row r="762">
          <cell r="A762" t="str">
            <v>Тумбочка</v>
          </cell>
          <cell r="C762">
            <v>52.083333333333329</v>
          </cell>
          <cell r="E762">
            <v>22.916666666666664</v>
          </cell>
        </row>
        <row r="763">
          <cell r="A763" t="str">
            <v xml:space="preserve">Стул </v>
          </cell>
          <cell r="C763">
            <v>80.177777777777777</v>
          </cell>
          <cell r="E763">
            <v>7.1428571428571432</v>
          </cell>
        </row>
        <row r="764">
          <cell r="A764" t="str">
            <v>Предоставление мягкого инвентаря:</v>
          </cell>
        </row>
        <row r="765">
          <cell r="A765" t="str">
            <v xml:space="preserve">нательное белье </v>
          </cell>
        </row>
        <row r="766">
          <cell r="A766" t="str">
            <v>Трусы</v>
          </cell>
          <cell r="C766">
            <v>125</v>
          </cell>
          <cell r="E766">
            <v>7.2916666666666661</v>
          </cell>
        </row>
        <row r="767">
          <cell r="A767" t="str">
            <v>Майка</v>
          </cell>
          <cell r="C767">
            <v>187.5</v>
          </cell>
          <cell r="E767">
            <v>8.8541666666666661</v>
          </cell>
        </row>
        <row r="768">
          <cell r="A768" t="str">
            <v>Обувь комнатная (тапочки)</v>
          </cell>
          <cell r="C768">
            <v>62.5</v>
          </cell>
          <cell r="E768">
            <v>15.625</v>
          </cell>
        </row>
        <row r="769">
          <cell r="A769" t="str">
            <v xml:space="preserve">постельные принадлежности </v>
          </cell>
        </row>
        <row r="770">
          <cell r="A770" t="str">
            <v>Пододеяльник</v>
          </cell>
          <cell r="C770">
            <v>62.5</v>
          </cell>
          <cell r="E770">
            <v>20.833333333333336</v>
          </cell>
        </row>
        <row r="771">
          <cell r="A771" t="str">
            <v>Простыня</v>
          </cell>
          <cell r="C771">
            <v>41.666666666666671</v>
          </cell>
          <cell r="E771">
            <v>16.666666666666668</v>
          </cell>
        </row>
        <row r="772">
          <cell r="A772" t="str">
            <v>Наволочка</v>
          </cell>
          <cell r="C772">
            <v>20.833333333333336</v>
          </cell>
          <cell r="E772">
            <v>5.2083333333333339</v>
          </cell>
        </row>
        <row r="773">
          <cell r="A773" t="str">
            <v>Одеяло шерстяное</v>
          </cell>
          <cell r="C773">
            <v>81.25</v>
          </cell>
          <cell r="E773">
            <v>81.25</v>
          </cell>
        </row>
        <row r="774">
          <cell r="A774" t="str">
            <v xml:space="preserve">Дезинфекционная обработка:   </v>
          </cell>
        </row>
        <row r="775">
          <cell r="A775" t="str">
            <v xml:space="preserve"> - личных вещей</v>
          </cell>
          <cell r="C775">
            <v>18.340994918032951</v>
          </cell>
          <cell r="E775">
            <v>18.017653718586701</v>
          </cell>
        </row>
        <row r="776">
          <cell r="A776" t="str">
            <v xml:space="preserve"> - мягкого инвентаря</v>
          </cell>
          <cell r="C776">
            <v>25.677392885246132</v>
          </cell>
          <cell r="E776">
            <v>25.224715206021379</v>
          </cell>
        </row>
        <row r="777">
          <cell r="A777" t="str">
            <v xml:space="preserve"> - матраца </v>
          </cell>
          <cell r="C777">
            <v>29.345591868852722</v>
          </cell>
          <cell r="E777">
            <v>28.828245949738719</v>
          </cell>
        </row>
        <row r="778">
          <cell r="A778" t="str">
            <v>Предоставление ванной или душевой комнаты для помывки</v>
          </cell>
          <cell r="C778">
            <v>110.04596950819771</v>
          </cell>
          <cell r="E778">
            <v>108.1059223115202</v>
          </cell>
        </row>
        <row r="779">
          <cell r="A779" t="str">
            <v>Услуги прачечной</v>
          </cell>
          <cell r="C779">
            <v>102.82984057501523</v>
          </cell>
          <cell r="E779">
            <v>97.295330080368174</v>
          </cell>
        </row>
        <row r="780">
          <cell r="A780" t="str">
            <v>Социально-медицинские услуги</v>
          </cell>
        </row>
        <row r="781">
          <cell r="A781" t="str">
            <v>Проведение противопедекулезной и санитарной обработки</v>
          </cell>
          <cell r="C781">
            <v>73.363979672131805</v>
          </cell>
          <cell r="E781">
            <v>72.070614874346802</v>
          </cell>
        </row>
        <row r="782">
          <cell r="A782" t="str">
            <v>Содействие в госпитализации в лечебно-профилактические  учреждения</v>
          </cell>
          <cell r="C782">
            <v>84.156365646445437</v>
          </cell>
          <cell r="E782">
            <v>84.156365646445437</v>
          </cell>
        </row>
        <row r="783">
          <cell r="A783" t="str">
            <v>Содействие в обеспечении нуждающихся  протезно-ортопедическими изделиями, специальными средствами для самообслуживания и ухода, другими средствами реабилитации</v>
          </cell>
          <cell r="C783">
            <v>419.3633600382949</v>
          </cell>
          <cell r="E783">
            <v>419.3633600382949</v>
          </cell>
        </row>
        <row r="784">
          <cell r="A784" t="str">
            <v>Содействие в проведении медико-социальной экспертизы на предмет установления или изменения группы инвалидности и степени ограничения способности к трудовой деятельности</v>
          </cell>
          <cell r="C784">
            <v>503.23603204595383</v>
          </cell>
          <cell r="E784">
            <v>503.23603204595383</v>
          </cell>
        </row>
        <row r="785">
          <cell r="A785" t="str">
            <v>Содействие в оказании медицинской помощи в объёме базовой программы обязательного медицинского страхования граждан  РФ</v>
          </cell>
          <cell r="C785">
            <v>209.68168001914745</v>
          </cell>
          <cell r="E785">
            <v>209.68168001914745</v>
          </cell>
        </row>
        <row r="786">
          <cell r="A786" t="str">
            <v xml:space="preserve">Содействие в получении полиса обязательного медицинского страхования </v>
          </cell>
          <cell r="C786">
            <v>125.80900801148846</v>
          </cell>
          <cell r="E786">
            <v>125.80900801148846</v>
          </cell>
        </row>
        <row r="787">
          <cell r="A787" t="str">
            <v xml:space="preserve">Содействие в проведении социально-реабилитационных мероприятий </v>
          </cell>
          <cell r="C787">
            <v>377.42702403446538</v>
          </cell>
          <cell r="E787">
            <v>377.42702403446538</v>
          </cell>
        </row>
        <row r="788">
          <cell r="A788" t="str">
            <v>Социально-психологические услуги</v>
          </cell>
        </row>
        <row r="789">
          <cell r="A789" t="str">
            <v>Психологическая  диагностика</v>
          </cell>
          <cell r="C789">
            <v>413.9361887619342</v>
          </cell>
          <cell r="E789">
            <v>413.9361887619342</v>
          </cell>
        </row>
        <row r="790">
          <cell r="A790" t="str">
            <v>Проведение психокоррекционной работы</v>
          </cell>
          <cell r="C790">
            <v>206.9680943809671</v>
          </cell>
          <cell r="E790">
            <v>206.9680943809671</v>
          </cell>
        </row>
        <row r="791">
          <cell r="A791" t="str">
            <v>Социально-педагогические услуги</v>
          </cell>
        </row>
        <row r="792">
          <cell r="A792" t="str">
            <v xml:space="preserve">Содействие в обучении бездомных граждан, не имеющих профессиональных навыков </v>
          </cell>
          <cell r="C792">
            <v>241.46277677779494</v>
          </cell>
          <cell r="E792">
            <v>241.46277677779494</v>
          </cell>
        </row>
        <row r="793">
          <cell r="A793" t="str">
            <v xml:space="preserve">Осуществление  мероприятий по восстановлению профессиональных навыков, в том числе содействие в направлении на общественные работы. </v>
          </cell>
          <cell r="C793">
            <v>172.47341198413926</v>
          </cell>
          <cell r="E793">
            <v>172.47341198413926</v>
          </cell>
        </row>
        <row r="794">
          <cell r="A794" t="str">
            <v>Содействие в трудоустройстве</v>
          </cell>
          <cell r="C794">
            <v>262.15958621589164</v>
          </cell>
          <cell r="E794">
            <v>262.15958621589164</v>
          </cell>
        </row>
        <row r="795">
          <cell r="A795" t="str">
            <v>Организация досуга (проведение культурно-досуговых мероприятий в учреждении)</v>
          </cell>
          <cell r="C795">
            <v>167.74534401531795</v>
          </cell>
          <cell r="E795">
            <v>167.74534401531795</v>
          </cell>
        </row>
        <row r="796">
          <cell r="A796" t="str">
            <v>Социально-правовые услуги</v>
          </cell>
        </row>
        <row r="797">
          <cell r="A797" t="str">
            <v>Содействие в оформлении документов (свидетельство о рождении, пенсионное удостоверение и т.д.)</v>
          </cell>
          <cell r="C797">
            <v>335.49068803063591</v>
          </cell>
          <cell r="E797">
            <v>335.49068803063591</v>
          </cell>
        </row>
        <row r="798">
          <cell r="A798" t="str">
            <v>Содействие в восстановлении документов, удостоверяющих личность, включая фотографические  на документы.</v>
          </cell>
          <cell r="C798">
            <v>251.61801602297692</v>
          </cell>
          <cell r="E798">
            <v>251.61801602297692</v>
          </cell>
        </row>
        <row r="799">
          <cell r="A799" t="str">
            <v>Содействие в оформлении регистрации по месту пребывания в паспортно-визовой службе</v>
          </cell>
          <cell r="C799">
            <v>293.55435202680644</v>
          </cell>
          <cell r="E799">
            <v>293.55435202680644</v>
          </cell>
        </row>
        <row r="800">
          <cell r="A800" t="str">
            <v>Содействие в поиске родственников и восстановлении утраченных связей с ними</v>
          </cell>
          <cell r="C800">
            <v>167.74534401531795</v>
          </cell>
          <cell r="E800">
            <v>167.74534401531795</v>
          </cell>
        </row>
        <row r="801">
          <cell r="A801" t="str">
            <v>Содействие в вопросах  восстановления утраченной жилплощади, работы (содействие в подготовке документов для поставки на учёт нуждающихся в жилплощади, судебное сопровождение по вопросу восстановления прав на утраченное жилье)</v>
          </cell>
          <cell r="C801">
            <v>527.81141005310826</v>
          </cell>
          <cell r="E801">
            <v>527.81141005310826</v>
          </cell>
        </row>
        <row r="802">
          <cell r="A802" t="str">
            <v>Содействие в решении вопросов пенсионного обеспечения</v>
          </cell>
          <cell r="C802">
            <v>251.61801602297692</v>
          </cell>
          <cell r="E802">
            <v>251.61801602297692</v>
          </cell>
        </row>
        <row r="803">
          <cell r="A803" t="str">
            <v xml:space="preserve">Оформление документов для направления в учреждения стационарного социального обслуживания </v>
          </cell>
          <cell r="C803">
            <v>419.3633600382949</v>
          </cell>
          <cell r="E803">
            <v>419.3633600382949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ФХД свод"/>
      <sheetName val="табл.1"/>
      <sheetName val="табл.2"/>
      <sheetName val="табл.3"/>
      <sheetName val="Таб.4"/>
      <sheetName val="Таб.5"/>
      <sheetName val="Таб.6"/>
      <sheetName val="Табл.7"/>
      <sheetName val="Таб.8"/>
      <sheetName val="Таб.9"/>
      <sheetName val="Таб.10"/>
      <sheetName val="Табл.11"/>
      <sheetName val="Лист1"/>
      <sheetName val="НОДОМКА "/>
      <sheetName val="ПОЛУСТАЦ,(инвалиды)"/>
      <sheetName val="СТАЦ.(пожил.)"/>
      <sheetName val="СТАЦ. (трудн.)"/>
      <sheetName val=" СТАЦ,(жен. и детей)"/>
      <sheetName val="БОМЖ"/>
      <sheetName val="Дети от 0-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681">
          <cell r="A681" t="str">
            <v xml:space="preserve">5. Предоставление временного приюта лицам, освободившимся из мест лишения свободы, и лицам без определенного места жительства и занятий в Тюменской области 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18">
          <cell r="C18" t="str">
            <v>1 кв.м., на 1 чел.в месяц</v>
          </cell>
        </row>
        <row r="19">
          <cell r="C19" t="str">
            <v>1 раз в день</v>
          </cell>
        </row>
        <row r="21">
          <cell r="C21" t="str">
            <v xml:space="preserve"> 1 ед.</v>
          </cell>
        </row>
        <row r="22">
          <cell r="C22" t="str">
            <v xml:space="preserve"> 1 ед.</v>
          </cell>
        </row>
        <row r="23">
          <cell r="C23" t="str">
            <v xml:space="preserve"> 1 ед.</v>
          </cell>
        </row>
        <row r="26">
          <cell r="C26" t="str">
            <v>1 ед.</v>
          </cell>
        </row>
        <row r="27">
          <cell r="C27" t="str">
            <v>1 ед.</v>
          </cell>
        </row>
        <row r="28">
          <cell r="C28" t="str">
            <v>1 ед.</v>
          </cell>
        </row>
        <row r="30">
          <cell r="C30" t="str">
            <v>1 ед.</v>
          </cell>
        </row>
        <row r="31">
          <cell r="C31" t="str">
            <v>1 ед.</v>
          </cell>
        </row>
        <row r="32">
          <cell r="C32" t="str">
            <v>1 ед.</v>
          </cell>
        </row>
        <row r="33">
          <cell r="C33" t="str">
            <v>1 ед.</v>
          </cell>
        </row>
        <row r="35">
          <cell r="C35" t="str">
            <v>1 услуга</v>
          </cell>
        </row>
        <row r="36">
          <cell r="C36" t="str">
            <v>1 услуга</v>
          </cell>
        </row>
        <row r="37">
          <cell r="C37" t="str">
            <v>1 услуга</v>
          </cell>
        </row>
        <row r="38">
          <cell r="C38" t="str">
            <v>1 услуга</v>
          </cell>
        </row>
        <row r="39">
          <cell r="C39" t="str">
            <v>1 услуга</v>
          </cell>
        </row>
        <row r="41">
          <cell r="C41" t="str">
            <v>1 услуга</v>
          </cell>
        </row>
        <row r="42">
          <cell r="C42" t="str">
            <v>1 услуга</v>
          </cell>
        </row>
        <row r="43">
          <cell r="C43" t="str">
            <v>1 услуга</v>
          </cell>
        </row>
        <row r="44">
          <cell r="C44" t="str">
            <v>1 услуга</v>
          </cell>
        </row>
        <row r="45">
          <cell r="C45" t="str">
            <v>1 услуга</v>
          </cell>
        </row>
        <row r="46">
          <cell r="C46" t="str">
            <v>1 услуга</v>
          </cell>
        </row>
        <row r="47">
          <cell r="C47" t="str">
            <v>1 услуга</v>
          </cell>
        </row>
        <row r="49">
          <cell r="C49" t="str">
            <v>1 услуга</v>
          </cell>
        </row>
        <row r="50">
          <cell r="C50" t="str">
            <v>1 услуга</v>
          </cell>
        </row>
        <row r="52">
          <cell r="C52" t="str">
            <v>1 услуга</v>
          </cell>
        </row>
        <row r="53">
          <cell r="C53" t="str">
            <v>1 услуга</v>
          </cell>
        </row>
        <row r="54">
          <cell r="C54" t="str">
            <v>1 услуга</v>
          </cell>
        </row>
        <row r="55">
          <cell r="C55" t="str">
            <v>1 услуга</v>
          </cell>
        </row>
        <row r="57">
          <cell r="C57" t="str">
            <v>1 услуга</v>
          </cell>
        </row>
        <row r="58">
          <cell r="C58" t="str">
            <v>1 услуга</v>
          </cell>
        </row>
        <row r="59">
          <cell r="C59" t="str">
            <v>1 услуга</v>
          </cell>
        </row>
        <row r="60">
          <cell r="C60" t="str">
            <v>1 услуга</v>
          </cell>
        </row>
        <row r="61">
          <cell r="C61" t="str">
            <v>1 услуга</v>
          </cell>
        </row>
        <row r="62">
          <cell r="C62" t="str">
            <v>1 услуга</v>
          </cell>
        </row>
        <row r="63">
          <cell r="C63" t="str">
            <v>1 услуга</v>
          </cell>
        </row>
      </sheetData>
      <sheetData sheetId="1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3"/>
  <sheetViews>
    <sheetView zoomScale="70" zoomScaleNormal="70" workbookViewId="0">
      <pane ySplit="2" topLeftCell="A3" activePane="bottomLeft" state="frozen"/>
      <selection pane="bottomLeft" activeCell="A3" sqref="A3:IV3"/>
    </sheetView>
  </sheetViews>
  <sheetFormatPr defaultRowHeight="15" x14ac:dyDescent="0.25"/>
  <cols>
    <col min="1" max="1" width="50.42578125" customWidth="1"/>
  </cols>
  <sheetData>
    <row r="1" spans="1:29" ht="15" customHeight="1" x14ac:dyDescent="0.25">
      <c r="A1" s="235" t="s">
        <v>0</v>
      </c>
      <c r="B1" s="235" t="s">
        <v>1</v>
      </c>
      <c r="C1" s="237" t="s">
        <v>2</v>
      </c>
      <c r="D1" s="239" t="s">
        <v>3</v>
      </c>
      <c r="E1" s="239" t="s">
        <v>4</v>
      </c>
      <c r="F1" s="239" t="s">
        <v>5</v>
      </c>
      <c r="G1" s="239" t="s">
        <v>6</v>
      </c>
      <c r="H1" s="240" t="s">
        <v>7</v>
      </c>
      <c r="I1" s="240" t="s">
        <v>8</v>
      </c>
      <c r="J1" s="240" t="s">
        <v>9</v>
      </c>
      <c r="K1" s="240" t="s">
        <v>10</v>
      </c>
      <c r="L1" s="240" t="s">
        <v>11</v>
      </c>
      <c r="M1" s="240" t="s">
        <v>12</v>
      </c>
      <c r="N1" s="240" t="s">
        <v>13</v>
      </c>
      <c r="O1" s="240" t="s">
        <v>14</v>
      </c>
      <c r="P1" s="240" t="s">
        <v>15</v>
      </c>
      <c r="Q1" s="240" t="s">
        <v>16</v>
      </c>
      <c r="R1" s="240" t="s">
        <v>17</v>
      </c>
      <c r="S1" s="240" t="s">
        <v>18</v>
      </c>
      <c r="T1" s="240" t="s">
        <v>19</v>
      </c>
      <c r="U1" s="240" t="s">
        <v>20</v>
      </c>
      <c r="V1" s="240" t="s">
        <v>21</v>
      </c>
      <c r="W1" s="240" t="s">
        <v>22</v>
      </c>
      <c r="X1" s="240" t="s">
        <v>23</v>
      </c>
      <c r="Y1" s="240" t="s">
        <v>24</v>
      </c>
      <c r="Z1" s="240" t="s">
        <v>25</v>
      </c>
      <c r="AA1" s="240" t="s">
        <v>26</v>
      </c>
      <c r="AB1" s="240" t="s">
        <v>27</v>
      </c>
      <c r="AC1" s="240" t="s">
        <v>265</v>
      </c>
    </row>
    <row r="2" spans="1:29" ht="57" customHeight="1" x14ac:dyDescent="0.25">
      <c r="A2" s="236"/>
      <c r="B2" s="236"/>
      <c r="C2" s="238"/>
      <c r="D2" s="239"/>
      <c r="E2" s="239"/>
      <c r="F2" s="239"/>
      <c r="G2" s="239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</row>
    <row r="3" spans="1:29" ht="45" x14ac:dyDescent="0.25">
      <c r="A3" s="1" t="s">
        <v>28</v>
      </c>
      <c r="B3" s="1"/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3"/>
      <c r="X3" s="2"/>
      <c r="Y3" s="2"/>
      <c r="Z3" s="3"/>
      <c r="AA3" s="2"/>
      <c r="AB3" s="2"/>
      <c r="AC3" s="2"/>
    </row>
    <row r="4" spans="1:29" ht="87" customHeight="1" x14ac:dyDescent="0.25">
      <c r="A4" s="4" t="s">
        <v>29</v>
      </c>
      <c r="B4" s="4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</row>
    <row r="5" spans="1:29" x14ac:dyDescent="0.25">
      <c r="A5" s="6" t="s">
        <v>30</v>
      </c>
      <c r="B5" s="6"/>
      <c r="C5" s="6"/>
      <c r="D5" s="7"/>
      <c r="E5" s="7"/>
      <c r="F5" s="7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</row>
    <row r="6" spans="1:29" x14ac:dyDescent="0.25">
      <c r="A6" s="9" t="s">
        <v>31</v>
      </c>
      <c r="B6" s="10" t="s">
        <v>32</v>
      </c>
      <c r="C6" s="11">
        <f t="shared" ref="C6:C37" si="0">MAX(D6:AC6)</f>
        <v>161.24296842334473</v>
      </c>
      <c r="D6" s="8">
        <v>99.439732311210705</v>
      </c>
      <c r="E6" s="8">
        <v>121.39468903959171</v>
      </c>
      <c r="F6" s="8">
        <v>83.748148886470688</v>
      </c>
      <c r="G6" s="8">
        <v>105.87915544192089</v>
      </c>
      <c r="H6" s="8">
        <v>115.7229502222024</v>
      </c>
      <c r="I6" s="8">
        <v>93.248624033247296</v>
      </c>
      <c r="J6" s="8">
        <v>88.958572021617158</v>
      </c>
      <c r="K6" s="8">
        <v>97.568080726816106</v>
      </c>
      <c r="L6" s="8">
        <v>80.725882165326581</v>
      </c>
      <c r="M6" s="8">
        <v>103.6887993908374</v>
      </c>
      <c r="N6" s="8">
        <v>110.34799056500486</v>
      </c>
      <c r="O6" s="8">
        <v>88.726424548956189</v>
      </c>
      <c r="P6" s="8">
        <v>99.545784274883147</v>
      </c>
      <c r="Q6" s="8">
        <v>85.575213800469413</v>
      </c>
      <c r="R6" s="8">
        <v>161.24296842334473</v>
      </c>
      <c r="S6" s="8">
        <v>143.1029281279169</v>
      </c>
      <c r="T6" s="8">
        <v>125.42503856031054</v>
      </c>
      <c r="U6" s="8">
        <v>93.498665609297475</v>
      </c>
      <c r="V6" s="8">
        <v>82.254700762906921</v>
      </c>
      <c r="W6" s="8">
        <v>101.46762816262422</v>
      </c>
      <c r="X6" s="8">
        <v>139.13056009093788</v>
      </c>
      <c r="Y6" s="8">
        <v>114.39422904414174</v>
      </c>
      <c r="Z6" s="8">
        <v>131.2499033208793</v>
      </c>
      <c r="AA6" s="8">
        <v>114.79344707316938</v>
      </c>
      <c r="AB6" s="8">
        <v>98.373615700475924</v>
      </c>
      <c r="AC6" s="8">
        <v>111.31925694301549</v>
      </c>
    </row>
    <row r="7" spans="1:29" x14ac:dyDescent="0.25">
      <c r="A7" s="9" t="s">
        <v>33</v>
      </c>
      <c r="B7" s="10" t="s">
        <v>32</v>
      </c>
      <c r="C7" s="11">
        <f t="shared" si="0"/>
        <v>161.24296842334473</v>
      </c>
      <c r="D7" s="8">
        <v>99.439732311210705</v>
      </c>
      <c r="E7" s="8">
        <v>121.39468903959171</v>
      </c>
      <c r="F7" s="8">
        <v>83.748148886470688</v>
      </c>
      <c r="G7" s="8">
        <v>105.87915544192089</v>
      </c>
      <c r="H7" s="8">
        <v>115.7229502222024</v>
      </c>
      <c r="I7" s="8">
        <v>93.248624033247296</v>
      </c>
      <c r="J7" s="8">
        <v>88.958572021617158</v>
      </c>
      <c r="K7" s="8">
        <v>97.568080726816106</v>
      </c>
      <c r="L7" s="8">
        <v>80.725882165326581</v>
      </c>
      <c r="M7" s="8">
        <v>103.6887993908374</v>
      </c>
      <c r="N7" s="8">
        <v>110.34799056500486</v>
      </c>
      <c r="O7" s="8">
        <v>88.726424548956189</v>
      </c>
      <c r="P7" s="8">
        <v>99.545784274883147</v>
      </c>
      <c r="Q7" s="8">
        <v>85.575213800469413</v>
      </c>
      <c r="R7" s="8">
        <v>161.24296842334473</v>
      </c>
      <c r="S7" s="8">
        <v>143.1029281279169</v>
      </c>
      <c r="T7" s="8">
        <v>125.42503856031054</v>
      </c>
      <c r="U7" s="8">
        <v>93.498665609297475</v>
      </c>
      <c r="V7" s="8">
        <v>82.254700762906921</v>
      </c>
      <c r="W7" s="8">
        <v>101.46762816262422</v>
      </c>
      <c r="X7" s="8">
        <v>139.13056009093788</v>
      </c>
      <c r="Y7" s="8">
        <v>114.39422904414174</v>
      </c>
      <c r="Z7" s="8">
        <v>131.2499033208793</v>
      </c>
      <c r="AA7" s="8">
        <v>114.79344707316938</v>
      </c>
      <c r="AB7" s="8">
        <v>98.373615700475924</v>
      </c>
      <c r="AC7" s="8">
        <v>111.31925694301549</v>
      </c>
    </row>
    <row r="8" spans="1:29" ht="45" x14ac:dyDescent="0.25">
      <c r="A8" s="9" t="s">
        <v>34</v>
      </c>
      <c r="B8" s="10" t="s">
        <v>32</v>
      </c>
      <c r="C8" s="11">
        <f t="shared" si="0"/>
        <v>161.24296842334473</v>
      </c>
      <c r="D8" s="8">
        <v>99.439732311210705</v>
      </c>
      <c r="E8" s="8">
        <v>121.39468903959171</v>
      </c>
      <c r="F8" s="8">
        <v>83.748148886470688</v>
      </c>
      <c r="G8" s="8">
        <v>105.87915544192089</v>
      </c>
      <c r="H8" s="8">
        <v>115.7229502222024</v>
      </c>
      <c r="I8" s="8">
        <v>93.248624033247296</v>
      </c>
      <c r="J8" s="8">
        <v>100.08498512014029</v>
      </c>
      <c r="K8" s="8">
        <v>97.568080726816106</v>
      </c>
      <c r="L8" s="8">
        <v>80.725882165326581</v>
      </c>
      <c r="M8" s="8">
        <v>103.6887993908374</v>
      </c>
      <c r="N8" s="8">
        <v>110.34799056500486</v>
      </c>
      <c r="O8" s="8">
        <v>88.726424548956189</v>
      </c>
      <c r="P8" s="8">
        <v>119.14195465319159</v>
      </c>
      <c r="Q8" s="8">
        <v>85.575213800469413</v>
      </c>
      <c r="R8" s="8">
        <v>161.24296842334473</v>
      </c>
      <c r="S8" s="8">
        <v>143.1029281279169</v>
      </c>
      <c r="T8" s="8">
        <v>125.42503856031054</v>
      </c>
      <c r="U8" s="8">
        <v>93.498665609297475</v>
      </c>
      <c r="V8" s="8">
        <v>82.254700762906921</v>
      </c>
      <c r="W8" s="8">
        <v>101.46762816262422</v>
      </c>
      <c r="X8" s="8">
        <v>139.13056009093788</v>
      </c>
      <c r="Y8" s="8">
        <v>114.39422904414174</v>
      </c>
      <c r="Z8" s="8">
        <v>131.2499033208793</v>
      </c>
      <c r="AA8" s="8">
        <v>114.79344707316938</v>
      </c>
      <c r="AB8" s="8">
        <v>98.373615700475924</v>
      </c>
      <c r="AC8" s="8">
        <v>111.31925694301549</v>
      </c>
    </row>
    <row r="9" spans="1:29" ht="30" x14ac:dyDescent="0.25">
      <c r="A9" s="9" t="s">
        <v>35</v>
      </c>
      <c r="B9" s="10" t="s">
        <v>32</v>
      </c>
      <c r="C9" s="11">
        <f t="shared" si="0"/>
        <v>107.49531228222985</v>
      </c>
      <c r="D9" s="8">
        <v>66.29315487414047</v>
      </c>
      <c r="E9" s="8">
        <v>80.929792693061131</v>
      </c>
      <c r="F9" s="8">
        <v>55.832099257647123</v>
      </c>
      <c r="G9" s="8">
        <v>70.586103627947267</v>
      </c>
      <c r="H9" s="8">
        <v>77.148633481468266</v>
      </c>
      <c r="I9" s="8">
        <v>62.165749355498193</v>
      </c>
      <c r="J9" s="8">
        <v>59.305714681078108</v>
      </c>
      <c r="K9" s="8">
        <v>65.045387151210747</v>
      </c>
      <c r="L9" s="8">
        <v>53.817254776884376</v>
      </c>
      <c r="M9" s="8">
        <v>69.125866260558283</v>
      </c>
      <c r="N9" s="8">
        <v>73.56532704333658</v>
      </c>
      <c r="O9" s="8">
        <v>59.150949699304135</v>
      </c>
      <c r="P9" s="8">
        <v>66.363856183255436</v>
      </c>
      <c r="Q9" s="8">
        <v>57.050142533646273</v>
      </c>
      <c r="R9" s="8">
        <v>107.49531228222985</v>
      </c>
      <c r="S9" s="8">
        <v>95.401952085277927</v>
      </c>
      <c r="T9" s="8">
        <v>83.61669237354036</v>
      </c>
      <c r="U9" s="8">
        <v>62.332443739531641</v>
      </c>
      <c r="V9" s="8">
        <v>54.836467175271281</v>
      </c>
      <c r="W9" s="8">
        <v>67.645085441749472</v>
      </c>
      <c r="X9" s="8">
        <v>92.753706727291899</v>
      </c>
      <c r="Y9" s="8">
        <v>76.262819362761149</v>
      </c>
      <c r="Z9" s="8">
        <v>87.499935547252861</v>
      </c>
      <c r="AA9" s="8">
        <v>76.52896471544625</v>
      </c>
      <c r="AB9" s="8">
        <v>65.582410466983958</v>
      </c>
      <c r="AC9" s="8">
        <v>74.212837962010312</v>
      </c>
    </row>
    <row r="10" spans="1:29" ht="45" x14ac:dyDescent="0.25">
      <c r="A10" s="9" t="s">
        <v>36</v>
      </c>
      <c r="B10" s="10" t="s">
        <v>32</v>
      </c>
      <c r="C10" s="11">
        <f t="shared" si="0"/>
        <v>107.49531228222985</v>
      </c>
      <c r="D10" s="8">
        <v>66.29315487414047</v>
      </c>
      <c r="E10" s="8">
        <v>80.929792693061131</v>
      </c>
      <c r="F10" s="8">
        <v>55.832099257647123</v>
      </c>
      <c r="G10" s="8">
        <v>70.586103627947267</v>
      </c>
      <c r="H10" s="8">
        <v>77.148633481468266</v>
      </c>
      <c r="I10" s="8">
        <v>62.165749355498193</v>
      </c>
      <c r="J10" s="8">
        <v>59.305714681078108</v>
      </c>
      <c r="K10" s="8">
        <v>65.045387151210747</v>
      </c>
      <c r="L10" s="8">
        <v>53.817254776884376</v>
      </c>
      <c r="M10" s="8">
        <v>69.125866260558283</v>
      </c>
      <c r="N10" s="8">
        <v>73.56532704333658</v>
      </c>
      <c r="O10" s="8">
        <v>59.150949699304135</v>
      </c>
      <c r="P10" s="8">
        <v>66.363856183255436</v>
      </c>
      <c r="Q10" s="8">
        <v>57.050142533646273</v>
      </c>
      <c r="R10" s="8">
        <v>107.49531228222985</v>
      </c>
      <c r="S10" s="8">
        <v>95.401952085277927</v>
      </c>
      <c r="T10" s="8">
        <v>83.61669237354036</v>
      </c>
      <c r="U10" s="8">
        <v>62.332443739531641</v>
      </c>
      <c r="V10" s="8">
        <v>54.836467175271281</v>
      </c>
      <c r="W10" s="8">
        <v>67.645085441749472</v>
      </c>
      <c r="X10" s="8">
        <v>92.753706727291899</v>
      </c>
      <c r="Y10" s="8">
        <v>76.262819362761149</v>
      </c>
      <c r="Z10" s="8">
        <v>87.499935547252861</v>
      </c>
      <c r="AA10" s="8">
        <v>76.52896471544625</v>
      </c>
      <c r="AB10" s="8">
        <v>65.582410466983958</v>
      </c>
      <c r="AC10" s="8">
        <v>74.212837962010312</v>
      </c>
    </row>
    <row r="11" spans="1:29" x14ac:dyDescent="0.25">
      <c r="A11" s="9" t="s">
        <v>37</v>
      </c>
      <c r="B11" s="10" t="s">
        <v>32</v>
      </c>
      <c r="C11" s="11">
        <f t="shared" si="0"/>
        <v>80.621484211672367</v>
      </c>
      <c r="D11" s="8">
        <v>49.719866155605352</v>
      </c>
      <c r="E11" s="8">
        <v>60.697344519795855</v>
      </c>
      <c r="F11" s="8">
        <v>41.874074443235344</v>
      </c>
      <c r="G11" s="8">
        <v>52.939577720960443</v>
      </c>
      <c r="H11" s="8">
        <v>57.8614751111012</v>
      </c>
      <c r="I11" s="8">
        <v>46.624312016623648</v>
      </c>
      <c r="J11" s="8">
        <v>44.479286010808579</v>
      </c>
      <c r="K11" s="8">
        <v>48.784040363408053</v>
      </c>
      <c r="L11" s="8">
        <v>40.362941082663291</v>
      </c>
      <c r="M11" s="8">
        <v>51.844399695418701</v>
      </c>
      <c r="N11" s="8">
        <v>55.173995282502432</v>
      </c>
      <c r="O11" s="8">
        <v>44.363212274478094</v>
      </c>
      <c r="P11" s="8">
        <v>49.772892137441573</v>
      </c>
      <c r="Q11" s="8">
        <v>42.787606900234707</v>
      </c>
      <c r="R11" s="8">
        <v>80.621484211672367</v>
      </c>
      <c r="S11" s="8">
        <v>71.551464063958448</v>
      </c>
      <c r="T11" s="8">
        <v>62.71251928015527</v>
      </c>
      <c r="U11" s="8">
        <v>46.749332804648738</v>
      </c>
      <c r="V11" s="8">
        <v>41.127350381453461</v>
      </c>
      <c r="W11" s="8">
        <v>50.733814081312111</v>
      </c>
      <c r="X11" s="8">
        <v>69.565280045468938</v>
      </c>
      <c r="Y11" s="8">
        <v>57.197114522070869</v>
      </c>
      <c r="Z11" s="8">
        <v>65.624951660439649</v>
      </c>
      <c r="AA11" s="8">
        <v>57.396723536584688</v>
      </c>
      <c r="AB11" s="8">
        <v>49.186807850237962</v>
      </c>
      <c r="AC11" s="8">
        <v>55.659628471507745</v>
      </c>
    </row>
    <row r="12" spans="1:29" ht="45" x14ac:dyDescent="0.25">
      <c r="A12" s="9" t="s">
        <v>38</v>
      </c>
      <c r="B12" s="10" t="s">
        <v>32</v>
      </c>
      <c r="C12" s="11">
        <f t="shared" si="0"/>
        <v>80.621484211672367</v>
      </c>
      <c r="D12" s="8">
        <v>49.719866155605352</v>
      </c>
      <c r="E12" s="8">
        <v>60.697344519795855</v>
      </c>
      <c r="F12" s="8">
        <v>41.874074443235344</v>
      </c>
      <c r="G12" s="8">
        <v>52.939577720960443</v>
      </c>
      <c r="H12" s="8">
        <v>57.8614751111012</v>
      </c>
      <c r="I12" s="8">
        <v>46.624312016623648</v>
      </c>
      <c r="J12" s="8">
        <v>44.479286010808579</v>
      </c>
      <c r="K12" s="8">
        <v>48.784040363408053</v>
      </c>
      <c r="L12" s="8">
        <v>40.362941082663291</v>
      </c>
      <c r="M12" s="8">
        <v>51.844399695418701</v>
      </c>
      <c r="N12" s="8">
        <v>55.173995282502432</v>
      </c>
      <c r="O12" s="8">
        <v>44.363212274478094</v>
      </c>
      <c r="P12" s="8">
        <v>49.772892137441573</v>
      </c>
      <c r="Q12" s="8">
        <v>42.787606900234707</v>
      </c>
      <c r="R12" s="8">
        <v>80.621484211672367</v>
      </c>
      <c r="S12" s="8">
        <v>71.551464063958448</v>
      </c>
      <c r="T12" s="8">
        <v>62.71251928015527</v>
      </c>
      <c r="U12" s="8">
        <v>46.749332804648738</v>
      </c>
      <c r="V12" s="8">
        <v>41.127350381453461</v>
      </c>
      <c r="W12" s="8">
        <v>50.733814081312111</v>
      </c>
      <c r="X12" s="8">
        <v>69.565280045468938</v>
      </c>
      <c r="Y12" s="8">
        <v>57.197114522070869</v>
      </c>
      <c r="Z12" s="8">
        <v>65.624951660439649</v>
      </c>
      <c r="AA12" s="8">
        <v>57.396723536584688</v>
      </c>
      <c r="AB12" s="8">
        <v>49.186807850237962</v>
      </c>
      <c r="AC12" s="8">
        <v>55.659628471507745</v>
      </c>
    </row>
    <row r="13" spans="1:29" ht="30" x14ac:dyDescent="0.25">
      <c r="A13" s="9" t="s">
        <v>39</v>
      </c>
      <c r="B13" s="10" t="s">
        <v>32</v>
      </c>
      <c r="C13" s="11">
        <f t="shared" si="0"/>
        <v>214.99062456445969</v>
      </c>
      <c r="D13" s="8">
        <v>132.58630974828094</v>
      </c>
      <c r="E13" s="8">
        <v>161.85958538612226</v>
      </c>
      <c r="F13" s="8">
        <v>111.66419851529425</v>
      </c>
      <c r="G13" s="8">
        <v>141.17220725589453</v>
      </c>
      <c r="H13" s="8">
        <v>154.29726696293653</v>
      </c>
      <c r="I13" s="8">
        <v>124.33149871099639</v>
      </c>
      <c r="J13" s="8">
        <v>118.61142936215622</v>
      </c>
      <c r="K13" s="8">
        <v>130.09077430242149</v>
      </c>
      <c r="L13" s="8">
        <v>107.63450955376875</v>
      </c>
      <c r="M13" s="8">
        <v>138.25173252111657</v>
      </c>
      <c r="N13" s="8">
        <v>147.13065408667316</v>
      </c>
      <c r="O13" s="8">
        <v>118.30189939860827</v>
      </c>
      <c r="P13" s="8">
        <v>132.72771236651087</v>
      </c>
      <c r="Q13" s="8">
        <v>114.10028506729255</v>
      </c>
      <c r="R13" s="8">
        <v>214.99062456445969</v>
      </c>
      <c r="S13" s="8">
        <v>190.80390417055585</v>
      </c>
      <c r="T13" s="8">
        <v>167.23338474708072</v>
      </c>
      <c r="U13" s="8">
        <v>124.66488747906328</v>
      </c>
      <c r="V13" s="8">
        <v>109.67293435054256</v>
      </c>
      <c r="W13" s="8">
        <v>135.29017088349894</v>
      </c>
      <c r="X13" s="8">
        <v>185.5074134545838</v>
      </c>
      <c r="Y13" s="8">
        <v>152.5256387255223</v>
      </c>
      <c r="Z13" s="8">
        <v>157.44701393336499</v>
      </c>
      <c r="AA13" s="8">
        <v>153.0579294308925</v>
      </c>
      <c r="AB13" s="8">
        <v>131.16482093396792</v>
      </c>
      <c r="AC13" s="8">
        <v>148.42567592402062</v>
      </c>
    </row>
    <row r="14" spans="1:29" ht="60" x14ac:dyDescent="0.25">
      <c r="A14" s="9" t="s">
        <v>40</v>
      </c>
      <c r="B14" s="10" t="s">
        <v>32</v>
      </c>
      <c r="C14" s="11">
        <f t="shared" si="0"/>
        <v>26.873828070557462</v>
      </c>
      <c r="D14" s="8">
        <v>16.573288718535117</v>
      </c>
      <c r="E14" s="8">
        <v>20.232448173265283</v>
      </c>
      <c r="F14" s="8">
        <v>13.958024814411781</v>
      </c>
      <c r="G14" s="8">
        <v>17.646525906986817</v>
      </c>
      <c r="H14" s="8">
        <v>19.287158370367067</v>
      </c>
      <c r="I14" s="8">
        <v>15.541437338874548</v>
      </c>
      <c r="J14" s="8">
        <v>14.826428670269527</v>
      </c>
      <c r="K14" s="8">
        <v>16.261346787802687</v>
      </c>
      <c r="L14" s="8">
        <v>13.454313694221094</v>
      </c>
      <c r="M14" s="8">
        <v>17.281466565139571</v>
      </c>
      <c r="N14" s="8">
        <v>18.391331760834145</v>
      </c>
      <c r="O14" s="8">
        <v>14.787737424826034</v>
      </c>
      <c r="P14" s="8">
        <v>16.590964045813859</v>
      </c>
      <c r="Q14" s="8">
        <v>14.262535633411568</v>
      </c>
      <c r="R14" s="8">
        <v>26.873828070557462</v>
      </c>
      <c r="S14" s="8">
        <v>23.850488021319482</v>
      </c>
      <c r="T14" s="8">
        <v>20.90417309338509</v>
      </c>
      <c r="U14" s="8">
        <v>15.58311093488291</v>
      </c>
      <c r="V14" s="8">
        <v>13.70911679381782</v>
      </c>
      <c r="W14" s="8">
        <v>16.911271360437368</v>
      </c>
      <c r="X14" s="8">
        <v>23.188426681822975</v>
      </c>
      <c r="Y14" s="8">
        <v>19.065704840690287</v>
      </c>
      <c r="Z14" s="8">
        <v>21.874983886813215</v>
      </c>
      <c r="AA14" s="8">
        <v>19.132241178861563</v>
      </c>
      <c r="AB14" s="8">
        <v>16.39560261674599</v>
      </c>
      <c r="AC14" s="8">
        <v>18.553209490502578</v>
      </c>
    </row>
    <row r="15" spans="1:29" x14ac:dyDescent="0.25">
      <c r="A15" s="9" t="s">
        <v>41</v>
      </c>
      <c r="B15" s="10"/>
      <c r="C15" s="11">
        <f t="shared" si="0"/>
        <v>0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</row>
    <row r="16" spans="1:29" x14ac:dyDescent="0.25">
      <c r="A16" s="9" t="s">
        <v>42</v>
      </c>
      <c r="B16" s="10" t="s">
        <v>32</v>
      </c>
      <c r="C16" s="11">
        <f t="shared" si="0"/>
        <v>26.873828070557462</v>
      </c>
      <c r="D16" s="8">
        <v>16.573288718535117</v>
      </c>
      <c r="E16" s="8">
        <v>20.232448173265283</v>
      </c>
      <c r="F16" s="8">
        <v>13.958024814411781</v>
      </c>
      <c r="G16" s="8">
        <v>17.646525906986817</v>
      </c>
      <c r="H16" s="8">
        <v>19.287158370367067</v>
      </c>
      <c r="I16" s="8">
        <v>15.541437338874548</v>
      </c>
      <c r="J16" s="8">
        <v>14.826428670269527</v>
      </c>
      <c r="K16" s="8">
        <v>16.261346787802687</v>
      </c>
      <c r="L16" s="8">
        <v>13.454313694221094</v>
      </c>
      <c r="M16" s="8">
        <v>17.281466565139571</v>
      </c>
      <c r="N16" s="8">
        <v>18.391331760834145</v>
      </c>
      <c r="O16" s="8">
        <v>14.787737424826034</v>
      </c>
      <c r="P16" s="8">
        <v>16.590964045813859</v>
      </c>
      <c r="Q16" s="8">
        <v>14.262535633411568</v>
      </c>
      <c r="R16" s="8">
        <v>26.873828070557462</v>
      </c>
      <c r="S16" s="8">
        <v>23.850488021319482</v>
      </c>
      <c r="T16" s="8">
        <v>20.90417309338509</v>
      </c>
      <c r="U16" s="8">
        <v>15.58311093488291</v>
      </c>
      <c r="V16" s="8">
        <v>13.70911679381782</v>
      </c>
      <c r="W16" s="8">
        <v>16.911271360437368</v>
      </c>
      <c r="X16" s="8">
        <v>23.188426681822975</v>
      </c>
      <c r="Y16" s="8">
        <v>19.065704840690287</v>
      </c>
      <c r="Z16" s="8">
        <v>21.874983886813215</v>
      </c>
      <c r="AA16" s="8">
        <v>19.132241178861563</v>
      </c>
      <c r="AB16" s="8">
        <v>16.39560261674599</v>
      </c>
      <c r="AC16" s="8">
        <v>18.553209490502578</v>
      </c>
    </row>
    <row r="17" spans="1:29" x14ac:dyDescent="0.25">
      <c r="A17" s="9" t="s">
        <v>43</v>
      </c>
      <c r="B17" s="10" t="s">
        <v>32</v>
      </c>
      <c r="C17" s="11">
        <f t="shared" si="0"/>
        <v>26.873828070557462</v>
      </c>
      <c r="D17" s="8">
        <v>16.573288718535117</v>
      </c>
      <c r="E17" s="8">
        <v>20.232448173265283</v>
      </c>
      <c r="F17" s="8">
        <v>13.958024814411781</v>
      </c>
      <c r="G17" s="8">
        <v>17.646525906986817</v>
      </c>
      <c r="H17" s="8">
        <v>19.287158370367067</v>
      </c>
      <c r="I17" s="8">
        <v>15.541437338874548</v>
      </c>
      <c r="J17" s="8">
        <v>14.826428670269527</v>
      </c>
      <c r="K17" s="8">
        <v>16.261346787802687</v>
      </c>
      <c r="L17" s="8">
        <v>13.454313694221094</v>
      </c>
      <c r="M17" s="8">
        <v>17.281466565139571</v>
      </c>
      <c r="N17" s="8">
        <v>18.391331760834145</v>
      </c>
      <c r="O17" s="8">
        <v>14.787737424826034</v>
      </c>
      <c r="P17" s="8">
        <v>16.590964045813859</v>
      </c>
      <c r="Q17" s="8">
        <v>14.262535633411568</v>
      </c>
      <c r="R17" s="8">
        <v>26.873828070557462</v>
      </c>
      <c r="S17" s="8">
        <v>23.850488021319482</v>
      </c>
      <c r="T17" s="8">
        <v>20.90417309338509</v>
      </c>
      <c r="U17" s="8">
        <v>15.58311093488291</v>
      </c>
      <c r="V17" s="8">
        <v>13.70911679381782</v>
      </c>
      <c r="W17" s="8">
        <v>16.911271360437368</v>
      </c>
      <c r="X17" s="8">
        <v>23.188426681822975</v>
      </c>
      <c r="Y17" s="8">
        <v>19.065704840690287</v>
      </c>
      <c r="Z17" s="8">
        <v>21.874983886813215</v>
      </c>
      <c r="AA17" s="8">
        <v>19.132241178861563</v>
      </c>
      <c r="AB17" s="8">
        <v>16.39560261674599</v>
      </c>
      <c r="AC17" s="8">
        <v>18.553209490502578</v>
      </c>
    </row>
    <row r="18" spans="1:29" x14ac:dyDescent="0.25">
      <c r="A18" s="9" t="s">
        <v>44</v>
      </c>
      <c r="B18" s="10" t="s">
        <v>32</v>
      </c>
      <c r="C18" s="11">
        <f t="shared" si="0"/>
        <v>80.621484211672367</v>
      </c>
      <c r="D18" s="8">
        <v>49.719866155605352</v>
      </c>
      <c r="E18" s="8">
        <v>60.697344519795855</v>
      </c>
      <c r="F18" s="8">
        <v>41.874074443235344</v>
      </c>
      <c r="G18" s="8">
        <v>52.939577720960443</v>
      </c>
      <c r="H18" s="8">
        <v>57.8614751111012</v>
      </c>
      <c r="I18" s="8">
        <v>46.624312016623648</v>
      </c>
      <c r="J18" s="8">
        <v>44.479286010808579</v>
      </c>
      <c r="K18" s="8">
        <v>48.784040363408053</v>
      </c>
      <c r="L18" s="8">
        <v>40.362941082663291</v>
      </c>
      <c r="M18" s="8">
        <v>51.844399695418701</v>
      </c>
      <c r="N18" s="8">
        <v>55.173995282502432</v>
      </c>
      <c r="O18" s="8">
        <v>44.363212274478094</v>
      </c>
      <c r="P18" s="8">
        <v>49.772892137441573</v>
      </c>
      <c r="Q18" s="8">
        <v>42.787606900234707</v>
      </c>
      <c r="R18" s="8">
        <v>80.621484211672367</v>
      </c>
      <c r="S18" s="8">
        <v>71.551464063958448</v>
      </c>
      <c r="T18" s="8">
        <v>62.71251928015527</v>
      </c>
      <c r="U18" s="8">
        <v>46.749332804648738</v>
      </c>
      <c r="V18" s="8">
        <v>41.127350381453461</v>
      </c>
      <c r="W18" s="8">
        <v>50.733814081312111</v>
      </c>
      <c r="X18" s="8">
        <v>69.565280045468938</v>
      </c>
      <c r="Y18" s="8">
        <v>57.197114522070869</v>
      </c>
      <c r="Z18" s="8">
        <v>65.624951660439649</v>
      </c>
      <c r="AA18" s="8">
        <v>57.396723536584688</v>
      </c>
      <c r="AB18" s="8">
        <v>49.186807850237962</v>
      </c>
      <c r="AC18" s="8">
        <v>55.659628471507745</v>
      </c>
    </row>
    <row r="19" spans="1:29" x14ac:dyDescent="0.25">
      <c r="A19" s="9" t="s">
        <v>45</v>
      </c>
      <c r="B19" s="10" t="s">
        <v>32</v>
      </c>
      <c r="C19" s="11">
        <f t="shared" si="0"/>
        <v>53.747656141114923</v>
      </c>
      <c r="D19" s="8">
        <v>33.146577437070235</v>
      </c>
      <c r="E19" s="8">
        <v>40.464896346530566</v>
      </c>
      <c r="F19" s="8">
        <v>27.916049628823561</v>
      </c>
      <c r="G19" s="8">
        <v>35.293051813973634</v>
      </c>
      <c r="H19" s="8">
        <v>38.574316740734133</v>
      </c>
      <c r="I19" s="8">
        <v>31.082874677749096</v>
      </c>
      <c r="J19" s="8">
        <v>29.652857340539054</v>
      </c>
      <c r="K19" s="8">
        <v>32.522693575605373</v>
      </c>
      <c r="L19" s="8">
        <v>26.908627388442188</v>
      </c>
      <c r="M19" s="8">
        <v>34.562933130279141</v>
      </c>
      <c r="N19" s="8">
        <v>36.78266352166829</v>
      </c>
      <c r="O19" s="8">
        <v>29.575474849652068</v>
      </c>
      <c r="P19" s="8">
        <v>33.181928091627718</v>
      </c>
      <c r="Q19" s="8">
        <v>28.525071266823137</v>
      </c>
      <c r="R19" s="8">
        <v>53.747656141114923</v>
      </c>
      <c r="S19" s="8">
        <v>47.700976042638963</v>
      </c>
      <c r="T19" s="8">
        <v>41.80834618677018</v>
      </c>
      <c r="U19" s="8">
        <v>31.16622186976582</v>
      </c>
      <c r="V19" s="8">
        <v>27.41823358763564</v>
      </c>
      <c r="W19" s="8">
        <v>33.822542720874736</v>
      </c>
      <c r="X19" s="8">
        <v>46.376853363645949</v>
      </c>
      <c r="Y19" s="8">
        <v>38.131409681380575</v>
      </c>
      <c r="Z19" s="8">
        <v>43.74996777362643</v>
      </c>
      <c r="AA19" s="8">
        <v>38.264482357723125</v>
      </c>
      <c r="AB19" s="8">
        <v>32.791205233491979</v>
      </c>
      <c r="AC19" s="8">
        <v>37.106418981005156</v>
      </c>
    </row>
    <row r="20" spans="1:29" x14ac:dyDescent="0.25">
      <c r="A20" s="9" t="s">
        <v>46</v>
      </c>
      <c r="B20" s="10" t="s">
        <v>32</v>
      </c>
      <c r="C20" s="11">
        <f t="shared" si="0"/>
        <v>26.873828070557462</v>
      </c>
      <c r="D20" s="8">
        <v>16.573288718535117</v>
      </c>
      <c r="E20" s="8">
        <v>20.232448173265283</v>
      </c>
      <c r="F20" s="8">
        <v>13.958024814411781</v>
      </c>
      <c r="G20" s="8">
        <v>17.646525906986817</v>
      </c>
      <c r="H20" s="8">
        <v>19.287158370367067</v>
      </c>
      <c r="I20" s="8">
        <v>15.541437338874548</v>
      </c>
      <c r="J20" s="8">
        <v>14.826428670269527</v>
      </c>
      <c r="K20" s="8">
        <v>16.261346787802687</v>
      </c>
      <c r="L20" s="8">
        <v>13.454313694221094</v>
      </c>
      <c r="M20" s="8">
        <v>17.281466565139571</v>
      </c>
      <c r="N20" s="8">
        <v>18.391331760834145</v>
      </c>
      <c r="O20" s="8">
        <v>14.787737424826034</v>
      </c>
      <c r="P20" s="8">
        <v>16.590964045813859</v>
      </c>
      <c r="Q20" s="8">
        <v>14.262535633411568</v>
      </c>
      <c r="R20" s="8">
        <v>26.873828070557462</v>
      </c>
      <c r="S20" s="8">
        <v>23.850488021319482</v>
      </c>
      <c r="T20" s="8">
        <v>20.90417309338509</v>
      </c>
      <c r="U20" s="8">
        <v>15.58311093488291</v>
      </c>
      <c r="V20" s="8">
        <v>13.70911679381782</v>
      </c>
      <c r="W20" s="8">
        <v>16.911271360437368</v>
      </c>
      <c r="X20" s="8">
        <v>23.188426681822975</v>
      </c>
      <c r="Y20" s="8">
        <v>19.065704840690287</v>
      </c>
      <c r="Z20" s="8">
        <v>21.874983886813215</v>
      </c>
      <c r="AA20" s="8">
        <v>19.132241178861563</v>
      </c>
      <c r="AB20" s="8">
        <v>16.39560261674599</v>
      </c>
      <c r="AC20" s="8">
        <v>18.553209490502578</v>
      </c>
    </row>
    <row r="21" spans="1:29" ht="75" x14ac:dyDescent="0.25">
      <c r="A21" s="9" t="s">
        <v>47</v>
      </c>
      <c r="B21" s="10" t="s">
        <v>32</v>
      </c>
      <c r="C21" s="11">
        <f t="shared" si="0"/>
        <v>214.99062456445969</v>
      </c>
      <c r="D21" s="8">
        <v>132.58630974828094</v>
      </c>
      <c r="E21" s="8">
        <v>161.85958538612226</v>
      </c>
      <c r="F21" s="8">
        <v>111.66419851529425</v>
      </c>
      <c r="G21" s="8">
        <v>141.17220725589453</v>
      </c>
      <c r="H21" s="8">
        <v>154.29726696293653</v>
      </c>
      <c r="I21" s="8">
        <v>124.33149871099639</v>
      </c>
      <c r="J21" s="8">
        <v>118.61142936215622</v>
      </c>
      <c r="K21" s="8">
        <v>130.09077430242149</v>
      </c>
      <c r="L21" s="8">
        <v>107.63450955376875</v>
      </c>
      <c r="M21" s="8">
        <v>138.25173252111657</v>
      </c>
      <c r="N21" s="8">
        <v>147.13065408667316</v>
      </c>
      <c r="O21" s="8">
        <v>118.30189939860827</v>
      </c>
      <c r="P21" s="8">
        <v>132.72771236651087</v>
      </c>
      <c r="Q21" s="8">
        <v>114.10028506729255</v>
      </c>
      <c r="R21" s="8">
        <v>214.99062456445969</v>
      </c>
      <c r="S21" s="8">
        <v>190.80390417055585</v>
      </c>
      <c r="T21" s="8">
        <v>167.23338474708072</v>
      </c>
      <c r="U21" s="8">
        <v>124.66488747906328</v>
      </c>
      <c r="V21" s="8">
        <v>109.67293435054256</v>
      </c>
      <c r="W21" s="8">
        <v>135.29017088349894</v>
      </c>
      <c r="X21" s="8">
        <v>185.5074134545838</v>
      </c>
      <c r="Y21" s="8">
        <v>152.5256387255223</v>
      </c>
      <c r="Z21" s="8">
        <v>174.99987109450572</v>
      </c>
      <c r="AA21" s="8">
        <v>153.0579294308925</v>
      </c>
      <c r="AB21" s="8">
        <v>131.16482093396792</v>
      </c>
      <c r="AC21" s="8">
        <v>148.42567592402062</v>
      </c>
    </row>
    <row r="22" spans="1:29" ht="60" x14ac:dyDescent="0.25">
      <c r="A22" s="9" t="s">
        <v>48</v>
      </c>
      <c r="B22" s="10" t="s">
        <v>32</v>
      </c>
      <c r="C22" s="11">
        <f t="shared" si="0"/>
        <v>26.873828070557462</v>
      </c>
      <c r="D22" s="8">
        <v>16.573288718535117</v>
      </c>
      <c r="E22" s="8">
        <v>20.232448173265283</v>
      </c>
      <c r="F22" s="8">
        <v>13.958024814411781</v>
      </c>
      <c r="G22" s="8">
        <v>17.646525906986817</v>
      </c>
      <c r="H22" s="8">
        <v>19.287158370367067</v>
      </c>
      <c r="I22" s="8">
        <v>15.541437338874548</v>
      </c>
      <c r="J22" s="8">
        <v>14.826428670269527</v>
      </c>
      <c r="K22" s="8">
        <v>16.261346787802687</v>
      </c>
      <c r="L22" s="8">
        <v>13.454313694221094</v>
      </c>
      <c r="M22" s="8">
        <v>17.281466565139571</v>
      </c>
      <c r="N22" s="8">
        <v>18.391331760834145</v>
      </c>
      <c r="O22" s="8">
        <v>14.787737424826034</v>
      </c>
      <c r="P22" s="8">
        <v>16.590964045813859</v>
      </c>
      <c r="Q22" s="8">
        <v>14.262535633411568</v>
      </c>
      <c r="R22" s="8">
        <v>26.873828070557462</v>
      </c>
      <c r="S22" s="8">
        <v>23.850488021319482</v>
      </c>
      <c r="T22" s="8">
        <v>20.90417309338509</v>
      </c>
      <c r="U22" s="8">
        <v>15.58311093488291</v>
      </c>
      <c r="V22" s="8">
        <v>13.70911679381782</v>
      </c>
      <c r="W22" s="8">
        <v>16.911271360437368</v>
      </c>
      <c r="X22" s="8">
        <v>23.188426681822975</v>
      </c>
      <c r="Y22" s="8">
        <v>19.065704840690287</v>
      </c>
      <c r="Z22" s="8">
        <v>21.874983886813215</v>
      </c>
      <c r="AA22" s="8">
        <v>19.132241178861563</v>
      </c>
      <c r="AB22" s="8">
        <v>16.39560261674599</v>
      </c>
      <c r="AC22" s="8">
        <v>18.553209490502578</v>
      </c>
    </row>
    <row r="23" spans="1:29" ht="30" x14ac:dyDescent="0.25">
      <c r="A23" s="9" t="s">
        <v>49</v>
      </c>
      <c r="B23" s="10" t="s">
        <v>32</v>
      </c>
      <c r="C23" s="11">
        <f t="shared" si="0"/>
        <v>26.873828070557462</v>
      </c>
      <c r="D23" s="8">
        <v>16.573288718535117</v>
      </c>
      <c r="E23" s="8">
        <v>20.232448173265283</v>
      </c>
      <c r="F23" s="8">
        <v>13.958024814411781</v>
      </c>
      <c r="G23" s="8">
        <v>17.646525906986817</v>
      </c>
      <c r="H23" s="8">
        <v>19.287158370367067</v>
      </c>
      <c r="I23" s="8">
        <v>15.541437338874548</v>
      </c>
      <c r="J23" s="8">
        <v>14.826428670269527</v>
      </c>
      <c r="K23" s="8">
        <v>16.261346787802687</v>
      </c>
      <c r="L23" s="8">
        <v>13.454313694221094</v>
      </c>
      <c r="M23" s="8">
        <v>15.066363899214394</v>
      </c>
      <c r="N23" s="8">
        <v>18.391331760834145</v>
      </c>
      <c r="O23" s="8">
        <v>14.787737424826034</v>
      </c>
      <c r="P23" s="8">
        <v>16.590964045813859</v>
      </c>
      <c r="Q23" s="8">
        <v>14.262535633411568</v>
      </c>
      <c r="R23" s="8">
        <v>26.873828070557462</v>
      </c>
      <c r="S23" s="8">
        <v>23.850488021319482</v>
      </c>
      <c r="T23" s="8">
        <v>20.90417309338509</v>
      </c>
      <c r="U23" s="8">
        <v>15.58311093488291</v>
      </c>
      <c r="V23" s="8">
        <v>13.70911679381782</v>
      </c>
      <c r="W23" s="8">
        <v>16.911271360437368</v>
      </c>
      <c r="X23" s="8">
        <v>23.188426681822975</v>
      </c>
      <c r="Y23" s="8">
        <v>19.065704840690287</v>
      </c>
      <c r="Z23" s="8">
        <v>21.874983886813215</v>
      </c>
      <c r="AA23" s="8">
        <v>19.132241178861563</v>
      </c>
      <c r="AB23" s="8">
        <v>16.39560261674599</v>
      </c>
      <c r="AC23" s="8">
        <v>18.553209490502578</v>
      </c>
    </row>
    <row r="24" spans="1:29" ht="30" x14ac:dyDescent="0.25">
      <c r="A24" s="9" t="s">
        <v>50</v>
      </c>
      <c r="B24" s="10" t="s">
        <v>32</v>
      </c>
      <c r="C24" s="11">
        <f t="shared" si="0"/>
        <v>26.873828070557462</v>
      </c>
      <c r="D24" s="8">
        <v>16.573288718535117</v>
      </c>
      <c r="E24" s="8">
        <v>20.232448173265283</v>
      </c>
      <c r="F24" s="8">
        <v>13.958024814411781</v>
      </c>
      <c r="G24" s="8">
        <v>17.646525906986817</v>
      </c>
      <c r="H24" s="8">
        <v>19.287158370367067</v>
      </c>
      <c r="I24" s="8">
        <v>15.541437338874548</v>
      </c>
      <c r="J24" s="8">
        <v>14.826428670269527</v>
      </c>
      <c r="K24" s="8">
        <v>16.261346787802687</v>
      </c>
      <c r="L24" s="8">
        <v>13.454313694221094</v>
      </c>
      <c r="M24" s="8">
        <v>17.281466565139571</v>
      </c>
      <c r="N24" s="8">
        <v>18.391331760834145</v>
      </c>
      <c r="O24" s="8">
        <v>14.787737424826034</v>
      </c>
      <c r="P24" s="8">
        <v>16.590964045813859</v>
      </c>
      <c r="Q24" s="8">
        <v>14.262535633411568</v>
      </c>
      <c r="R24" s="8">
        <v>26.873828070557462</v>
      </c>
      <c r="S24" s="8">
        <v>23.850488021319482</v>
      </c>
      <c r="T24" s="8">
        <v>20.90417309338509</v>
      </c>
      <c r="U24" s="8">
        <v>15.58311093488291</v>
      </c>
      <c r="V24" s="8">
        <v>13.70911679381782</v>
      </c>
      <c r="W24" s="8">
        <v>16.911271360437368</v>
      </c>
      <c r="X24" s="8">
        <v>23.188426681822975</v>
      </c>
      <c r="Y24" s="8">
        <v>19.065704840690287</v>
      </c>
      <c r="Z24" s="8">
        <v>21.874983886813215</v>
      </c>
      <c r="AA24" s="8">
        <v>19.132241178861563</v>
      </c>
      <c r="AB24" s="8">
        <v>16.39560261674599</v>
      </c>
      <c r="AC24" s="8">
        <v>18.553209490502578</v>
      </c>
    </row>
    <row r="25" spans="1:29" x14ac:dyDescent="0.25">
      <c r="A25" s="6" t="s">
        <v>51</v>
      </c>
      <c r="B25" s="10"/>
      <c r="C25" s="11">
        <f t="shared" si="0"/>
        <v>0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</row>
    <row r="26" spans="1:29" ht="30" x14ac:dyDescent="0.25">
      <c r="A26" s="9" t="s">
        <v>52</v>
      </c>
      <c r="B26" s="10"/>
      <c r="C26" s="11">
        <f t="shared" si="0"/>
        <v>0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</row>
    <row r="27" spans="1:29" x14ac:dyDescent="0.25">
      <c r="A27" s="9" t="s">
        <v>53</v>
      </c>
      <c r="B27" s="10" t="s">
        <v>32</v>
      </c>
      <c r="C27" s="11">
        <f t="shared" si="0"/>
        <v>53.747656141114923</v>
      </c>
      <c r="D27" s="8">
        <v>33.146577437070235</v>
      </c>
      <c r="E27" s="8">
        <v>40.464896346530566</v>
      </c>
      <c r="F27" s="8">
        <v>27.916049628823561</v>
      </c>
      <c r="G27" s="8">
        <v>35.293051813973634</v>
      </c>
      <c r="H27" s="8">
        <v>38.574316740734133</v>
      </c>
      <c r="I27" s="8">
        <v>31.082874677749096</v>
      </c>
      <c r="J27" s="8">
        <v>29.652857340539054</v>
      </c>
      <c r="K27" s="8">
        <v>32.522693575605373</v>
      </c>
      <c r="L27" s="8">
        <v>26.908627388442188</v>
      </c>
      <c r="M27" s="8">
        <v>34.562933130279141</v>
      </c>
      <c r="N27" s="8">
        <v>36.78266352166829</v>
      </c>
      <c r="O27" s="8">
        <v>29.575474849652068</v>
      </c>
      <c r="P27" s="8">
        <v>33.181928091627718</v>
      </c>
      <c r="Q27" s="8">
        <v>28.525071266823137</v>
      </c>
      <c r="R27" s="8">
        <v>53.747656141114923</v>
      </c>
      <c r="S27" s="8">
        <v>47.700976042638963</v>
      </c>
      <c r="T27" s="8">
        <v>41.80834618677018</v>
      </c>
      <c r="U27" s="8">
        <v>31.16622186976582</v>
      </c>
      <c r="V27" s="8">
        <v>27.41823358763564</v>
      </c>
      <c r="W27" s="8">
        <v>33.822542720874736</v>
      </c>
      <c r="X27" s="8">
        <v>46.376853363645949</v>
      </c>
      <c r="Y27" s="8">
        <v>38.131409681380575</v>
      </c>
      <c r="Z27" s="8">
        <v>43.74996777362643</v>
      </c>
      <c r="AA27" s="8">
        <v>38.264482357723125</v>
      </c>
      <c r="AB27" s="8">
        <v>32.791205233491979</v>
      </c>
      <c r="AC27" s="8">
        <v>37.106418981005156</v>
      </c>
    </row>
    <row r="28" spans="1:29" x14ac:dyDescent="0.25">
      <c r="A28" s="9" t="s">
        <v>54</v>
      </c>
      <c r="B28" s="10" t="s">
        <v>32</v>
      </c>
      <c r="C28" s="11">
        <f t="shared" si="0"/>
        <v>53.747656141114923</v>
      </c>
      <c r="D28" s="8">
        <v>33.146577437070235</v>
      </c>
      <c r="E28" s="8">
        <v>40.464896346530566</v>
      </c>
      <c r="F28" s="8">
        <v>27.916049628823561</v>
      </c>
      <c r="G28" s="8">
        <v>35.293051813973634</v>
      </c>
      <c r="H28" s="8">
        <v>38.574316740734133</v>
      </c>
      <c r="I28" s="8">
        <v>31.082874677749096</v>
      </c>
      <c r="J28" s="8">
        <v>29.652857340539054</v>
      </c>
      <c r="K28" s="8">
        <v>32.522693575605373</v>
      </c>
      <c r="L28" s="8">
        <v>26.908627388442188</v>
      </c>
      <c r="M28" s="8">
        <v>34.562933130279141</v>
      </c>
      <c r="N28" s="8">
        <v>36.78266352166829</v>
      </c>
      <c r="O28" s="8">
        <v>29.575474849652068</v>
      </c>
      <c r="P28" s="8">
        <v>33.181928091627718</v>
      </c>
      <c r="Q28" s="8">
        <v>28.525071266823137</v>
      </c>
      <c r="R28" s="8">
        <v>53.747656141114923</v>
      </c>
      <c r="S28" s="8">
        <v>47.700976042638963</v>
      </c>
      <c r="T28" s="8">
        <v>41.80834618677018</v>
      </c>
      <c r="U28" s="8">
        <v>31.16622186976582</v>
      </c>
      <c r="V28" s="8">
        <v>27.41823358763564</v>
      </c>
      <c r="W28" s="8">
        <v>33.822542720874736</v>
      </c>
      <c r="X28" s="8">
        <v>46.376853363645949</v>
      </c>
      <c r="Y28" s="8">
        <v>38.131409681380575</v>
      </c>
      <c r="Z28" s="8">
        <v>43.74996777362643</v>
      </c>
      <c r="AA28" s="8">
        <v>38.264482357723125</v>
      </c>
      <c r="AB28" s="8">
        <v>32.791205233491979</v>
      </c>
      <c r="AC28" s="8">
        <v>37.106418981005156</v>
      </c>
    </row>
    <row r="29" spans="1:29" x14ac:dyDescent="0.25">
      <c r="A29" s="9" t="s">
        <v>55</v>
      </c>
      <c r="B29" s="10" t="s">
        <v>32</v>
      </c>
      <c r="C29" s="11">
        <f t="shared" si="0"/>
        <v>26.873828070557462</v>
      </c>
      <c r="D29" s="8">
        <v>16.573288718535117</v>
      </c>
      <c r="E29" s="8">
        <v>20.232448173265283</v>
      </c>
      <c r="F29" s="8">
        <v>13.958024814411781</v>
      </c>
      <c r="G29" s="8">
        <v>17.646525906986817</v>
      </c>
      <c r="H29" s="8">
        <v>19.287158370367067</v>
      </c>
      <c r="I29" s="8">
        <v>15.541437338874548</v>
      </c>
      <c r="J29" s="8">
        <v>14.826428670269527</v>
      </c>
      <c r="K29" s="8">
        <v>16.261346787802687</v>
      </c>
      <c r="L29" s="8">
        <v>13.454313694221094</v>
      </c>
      <c r="M29" s="8">
        <v>17.281466565139571</v>
      </c>
      <c r="N29" s="8">
        <v>18.391331760834145</v>
      </c>
      <c r="O29" s="8">
        <v>14.787737424826034</v>
      </c>
      <c r="P29" s="8">
        <v>16.590964045813859</v>
      </c>
      <c r="Q29" s="8">
        <v>14.262535633411568</v>
      </c>
      <c r="R29" s="8">
        <v>26.873828070557462</v>
      </c>
      <c r="S29" s="8">
        <v>23.850488021319482</v>
      </c>
      <c r="T29" s="8">
        <v>20.90417309338509</v>
      </c>
      <c r="U29" s="8">
        <v>15.58311093488291</v>
      </c>
      <c r="V29" s="8">
        <v>13.70911679381782</v>
      </c>
      <c r="W29" s="8">
        <v>16.911271360437368</v>
      </c>
      <c r="X29" s="8">
        <v>23.188426681822975</v>
      </c>
      <c r="Y29" s="8">
        <v>19.065704840690287</v>
      </c>
      <c r="Z29" s="8">
        <v>21.874983886813215</v>
      </c>
      <c r="AA29" s="8">
        <v>19.132241178861563</v>
      </c>
      <c r="AB29" s="8">
        <v>16.39560261674599</v>
      </c>
      <c r="AC29" s="8">
        <v>18.553209490502578</v>
      </c>
    </row>
    <row r="30" spans="1:29" x14ac:dyDescent="0.25">
      <c r="A30" s="9" t="s">
        <v>56</v>
      </c>
      <c r="B30" s="10" t="s">
        <v>32</v>
      </c>
      <c r="C30" s="11">
        <f t="shared" si="0"/>
        <v>26.873828070557462</v>
      </c>
      <c r="D30" s="8">
        <v>16.573288718535117</v>
      </c>
      <c r="E30" s="8">
        <v>20.232448173265283</v>
      </c>
      <c r="F30" s="8">
        <v>13.958024814411781</v>
      </c>
      <c r="G30" s="8">
        <v>17.646525906986817</v>
      </c>
      <c r="H30" s="8">
        <v>19.287158370367067</v>
      </c>
      <c r="I30" s="8">
        <v>15.541437338874548</v>
      </c>
      <c r="J30" s="8">
        <v>14.826428670269527</v>
      </c>
      <c r="K30" s="8">
        <v>16.261346787802687</v>
      </c>
      <c r="L30" s="8">
        <v>13.454313694221094</v>
      </c>
      <c r="M30" s="8">
        <v>17.281466565139571</v>
      </c>
      <c r="N30" s="8">
        <v>18.391331760834145</v>
      </c>
      <c r="O30" s="8">
        <v>14.787737424826034</v>
      </c>
      <c r="P30" s="8">
        <v>16.590964045813859</v>
      </c>
      <c r="Q30" s="8">
        <v>14.262535633411568</v>
      </c>
      <c r="R30" s="8">
        <v>26.873828070557462</v>
      </c>
      <c r="S30" s="8">
        <v>23.850488021319482</v>
      </c>
      <c r="T30" s="8">
        <v>20.90417309338509</v>
      </c>
      <c r="U30" s="8">
        <v>15.58311093488291</v>
      </c>
      <c r="V30" s="8">
        <v>13.70911679381782</v>
      </c>
      <c r="W30" s="8">
        <v>16.911271360437368</v>
      </c>
      <c r="X30" s="8">
        <v>23.188426681822975</v>
      </c>
      <c r="Y30" s="8">
        <v>19.065704840690287</v>
      </c>
      <c r="Z30" s="8">
        <v>21.874983886813215</v>
      </c>
      <c r="AA30" s="8">
        <v>19.132241178861563</v>
      </c>
      <c r="AB30" s="8">
        <v>16.39560261674599</v>
      </c>
      <c r="AC30" s="8">
        <v>18.553209490502578</v>
      </c>
    </row>
    <row r="31" spans="1:29" ht="30" x14ac:dyDescent="0.25">
      <c r="A31" s="9" t="s">
        <v>57</v>
      </c>
      <c r="B31" s="10"/>
      <c r="C31" s="11">
        <f t="shared" si="0"/>
        <v>0</v>
      </c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</row>
    <row r="32" spans="1:29" x14ac:dyDescent="0.25">
      <c r="A32" s="9" t="s">
        <v>58</v>
      </c>
      <c r="B32" s="10" t="s">
        <v>32</v>
      </c>
      <c r="C32" s="11">
        <f t="shared" si="0"/>
        <v>343.8509417691003</v>
      </c>
      <c r="D32" s="8">
        <v>198.87946462242141</v>
      </c>
      <c r="E32" s="8">
        <v>242.78937807918342</v>
      </c>
      <c r="F32" s="8">
        <v>167.49629777294138</v>
      </c>
      <c r="G32" s="8">
        <v>343.8509417691003</v>
      </c>
      <c r="H32" s="8">
        <v>231.4459004444048</v>
      </c>
      <c r="I32" s="8">
        <v>186.49724806649459</v>
      </c>
      <c r="J32" s="8">
        <v>177.91714404323432</v>
      </c>
      <c r="K32" s="8">
        <v>195.13616145363221</v>
      </c>
      <c r="L32" s="8">
        <v>161.45176433065316</v>
      </c>
      <c r="M32" s="8">
        <v>207.37759878167481</v>
      </c>
      <c r="N32" s="8">
        <v>220.69598113000973</v>
      </c>
      <c r="O32" s="8">
        <v>265.65236150138037</v>
      </c>
      <c r="P32" s="8">
        <v>199.09156854976629</v>
      </c>
      <c r="Q32" s="8">
        <v>171.15042760093883</v>
      </c>
      <c r="R32" s="8">
        <v>322.48593684668947</v>
      </c>
      <c r="S32" s="8">
        <v>286.20585625583379</v>
      </c>
      <c r="T32" s="8">
        <v>250.85007712062108</v>
      </c>
      <c r="U32" s="8">
        <v>186.99733121859495</v>
      </c>
      <c r="V32" s="8">
        <v>164.50940152581384</v>
      </c>
      <c r="W32" s="8">
        <v>202.93525632524845</v>
      </c>
      <c r="X32" s="8">
        <v>278.26112018187575</v>
      </c>
      <c r="Y32" s="8">
        <v>228.78845808828348</v>
      </c>
      <c r="Z32" s="8">
        <v>262.4998066417586</v>
      </c>
      <c r="AA32" s="8">
        <v>229.58689414633875</v>
      </c>
      <c r="AB32" s="8">
        <v>196.74723140095185</v>
      </c>
      <c r="AC32" s="8">
        <v>222.63851388603098</v>
      </c>
    </row>
    <row r="33" spans="1:29" x14ac:dyDescent="0.25">
      <c r="A33" s="9" t="s">
        <v>59</v>
      </c>
      <c r="B33" s="10" t="s">
        <v>32</v>
      </c>
      <c r="C33" s="11">
        <f t="shared" si="0"/>
        <v>493.58255283968333</v>
      </c>
      <c r="D33" s="8">
        <v>269.33396060277607</v>
      </c>
      <c r="E33" s="8">
        <v>461.15801067646055</v>
      </c>
      <c r="F33" s="8">
        <v>209.37037221617663</v>
      </c>
      <c r="G33" s="8">
        <v>314.98700743905852</v>
      </c>
      <c r="H33" s="8">
        <v>302.56357169977684</v>
      </c>
      <c r="I33" s="8">
        <v>324.12391425910067</v>
      </c>
      <c r="J33" s="8">
        <v>428.05436469380362</v>
      </c>
      <c r="K33" s="8">
        <v>243.92020181704029</v>
      </c>
      <c r="L33" s="8">
        <v>240.57303496327577</v>
      </c>
      <c r="M33" s="8">
        <v>389.12410555760675</v>
      </c>
      <c r="N33" s="8">
        <v>266.15845868448434</v>
      </c>
      <c r="O33" s="8">
        <v>256.95905809406338</v>
      </c>
      <c r="P33" s="8">
        <v>248.8644606872079</v>
      </c>
      <c r="Q33" s="8">
        <v>213.93803450117355</v>
      </c>
      <c r="R33" s="8">
        <v>435.76907290111092</v>
      </c>
      <c r="S33" s="8">
        <v>352.5371347409673</v>
      </c>
      <c r="T33" s="8">
        <v>324.50024040493008</v>
      </c>
      <c r="U33" s="8">
        <v>233.74666402324368</v>
      </c>
      <c r="V33" s="8">
        <v>184.27366212228009</v>
      </c>
      <c r="W33" s="8">
        <v>268.15466720756712</v>
      </c>
      <c r="X33" s="8">
        <v>493.58255283968333</v>
      </c>
      <c r="Y33" s="8">
        <v>275.53363792216453</v>
      </c>
      <c r="Z33" s="8">
        <v>290.1950744852673</v>
      </c>
      <c r="AA33" s="8">
        <v>286.98361768292341</v>
      </c>
      <c r="AB33" s="8">
        <v>245.9340392511898</v>
      </c>
      <c r="AC33" s="8">
        <v>278.29814235753872</v>
      </c>
    </row>
    <row r="34" spans="1:29" ht="15" customHeight="1" x14ac:dyDescent="0.25">
      <c r="A34" s="9" t="s">
        <v>60</v>
      </c>
      <c r="B34" s="10" t="s">
        <v>32</v>
      </c>
      <c r="C34" s="11">
        <f t="shared" si="0"/>
        <v>403.10742105836187</v>
      </c>
      <c r="D34" s="8">
        <v>248.59933077802674</v>
      </c>
      <c r="E34" s="8">
        <v>303.48672259897933</v>
      </c>
      <c r="F34" s="8">
        <v>209.37037221617663</v>
      </c>
      <c r="G34" s="8">
        <v>264.69788860480224</v>
      </c>
      <c r="H34" s="8">
        <v>289.30737555550598</v>
      </c>
      <c r="I34" s="8">
        <v>233.12156008311825</v>
      </c>
      <c r="J34" s="8">
        <v>222.3964300540429</v>
      </c>
      <c r="K34" s="8">
        <v>243.92020181704029</v>
      </c>
      <c r="L34" s="8">
        <v>201.8147054133164</v>
      </c>
      <c r="M34" s="8">
        <v>259.22199847709356</v>
      </c>
      <c r="N34" s="8">
        <v>275.86997641251219</v>
      </c>
      <c r="O34" s="8">
        <v>221.81606137239049</v>
      </c>
      <c r="P34" s="8">
        <v>248.8644606872079</v>
      </c>
      <c r="Q34" s="8">
        <v>213.93803450117355</v>
      </c>
      <c r="R34" s="8">
        <v>403.10742105836187</v>
      </c>
      <c r="S34" s="8">
        <v>357.75732031979226</v>
      </c>
      <c r="T34" s="8">
        <v>313.56259640077633</v>
      </c>
      <c r="U34" s="8">
        <v>233.74666402324368</v>
      </c>
      <c r="V34" s="8">
        <v>205.6367519072673</v>
      </c>
      <c r="W34" s="8">
        <v>253.66907040656054</v>
      </c>
      <c r="X34" s="8">
        <v>347.82640022734472</v>
      </c>
      <c r="Y34" s="8">
        <v>285.98557261035432</v>
      </c>
      <c r="Z34" s="8">
        <v>328.12475830219825</v>
      </c>
      <c r="AA34" s="8">
        <v>286.98361768292341</v>
      </c>
      <c r="AB34" s="8">
        <v>245.9340392511898</v>
      </c>
      <c r="AC34" s="8">
        <v>278.29814235753872</v>
      </c>
    </row>
    <row r="35" spans="1:29" ht="45" x14ac:dyDescent="0.25">
      <c r="A35" s="9" t="s">
        <v>61</v>
      </c>
      <c r="B35" s="10" t="s">
        <v>32</v>
      </c>
      <c r="C35" s="11">
        <f t="shared" si="0"/>
        <v>214.99062456445969</v>
      </c>
      <c r="D35" s="8">
        <v>132.58630974828094</v>
      </c>
      <c r="E35" s="8">
        <v>161.85958538612226</v>
      </c>
      <c r="F35" s="8">
        <v>111.66419851529425</v>
      </c>
      <c r="G35" s="8">
        <v>141.17220725589453</v>
      </c>
      <c r="H35" s="8">
        <v>154.29726696293653</v>
      </c>
      <c r="I35" s="8">
        <v>124.33149871099639</v>
      </c>
      <c r="J35" s="8">
        <v>118.61142936215622</v>
      </c>
      <c r="K35" s="8">
        <v>130.09077430242149</v>
      </c>
      <c r="L35" s="8">
        <v>107.63450955376875</v>
      </c>
      <c r="M35" s="8">
        <v>138.25173252111657</v>
      </c>
      <c r="N35" s="8">
        <v>147.13065408667316</v>
      </c>
      <c r="O35" s="8">
        <v>118.30189939860827</v>
      </c>
      <c r="P35" s="8">
        <v>132.72771236651087</v>
      </c>
      <c r="Q35" s="8">
        <v>114.10028506729255</v>
      </c>
      <c r="R35" s="8">
        <v>214.99062456445969</v>
      </c>
      <c r="S35" s="8">
        <v>190.80390417055585</v>
      </c>
      <c r="T35" s="8">
        <v>167.23338474708072</v>
      </c>
      <c r="U35" s="8">
        <v>124.66488747906328</v>
      </c>
      <c r="V35" s="8">
        <v>109.67293435054256</v>
      </c>
      <c r="W35" s="8">
        <v>135.29017088349894</v>
      </c>
      <c r="X35" s="8">
        <v>185.5074134545838</v>
      </c>
      <c r="Y35" s="8">
        <v>152.5256387255223</v>
      </c>
      <c r="Z35" s="8">
        <v>174.99987109450572</v>
      </c>
      <c r="AA35" s="8">
        <v>153.0579294308925</v>
      </c>
      <c r="AB35" s="8">
        <v>131.16482093396792</v>
      </c>
      <c r="AC35" s="8">
        <v>148.42567592402062</v>
      </c>
    </row>
    <row r="36" spans="1:29" x14ac:dyDescent="0.25">
      <c r="A36" s="9" t="s">
        <v>62</v>
      </c>
      <c r="B36" s="10"/>
      <c r="C36" s="11">
        <f t="shared" si="0"/>
        <v>0</v>
      </c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</row>
    <row r="37" spans="1:29" ht="30" x14ac:dyDescent="0.25">
      <c r="A37" s="9" t="s">
        <v>63</v>
      </c>
      <c r="B37" s="10" t="s">
        <v>32</v>
      </c>
      <c r="C37" s="11">
        <f t="shared" si="0"/>
        <v>26.873828070557462</v>
      </c>
      <c r="D37" s="8">
        <v>16.573288718535117</v>
      </c>
      <c r="E37" s="8">
        <v>20.232448173265283</v>
      </c>
      <c r="F37" s="8">
        <v>13.958024814411781</v>
      </c>
      <c r="G37" s="8">
        <v>17.646525906986817</v>
      </c>
      <c r="H37" s="8">
        <v>19.287158370367067</v>
      </c>
      <c r="I37" s="8">
        <v>15.541437338874548</v>
      </c>
      <c r="J37" s="8">
        <v>14.826428670269527</v>
      </c>
      <c r="K37" s="8">
        <v>16.261346787802687</v>
      </c>
      <c r="L37" s="8">
        <v>13.454313694221094</v>
      </c>
      <c r="M37" s="8">
        <v>17.281466565139571</v>
      </c>
      <c r="N37" s="8">
        <v>18.391331760834145</v>
      </c>
      <c r="O37" s="8">
        <v>14.787737424826034</v>
      </c>
      <c r="P37" s="8">
        <v>16.590964045813859</v>
      </c>
      <c r="Q37" s="8">
        <v>14.262535633411568</v>
      </c>
      <c r="R37" s="8">
        <v>26.873828070557462</v>
      </c>
      <c r="S37" s="8">
        <v>23.850488021319482</v>
      </c>
      <c r="T37" s="8">
        <v>20.90417309338509</v>
      </c>
      <c r="U37" s="8">
        <v>15.58311093488291</v>
      </c>
      <c r="V37" s="8">
        <v>13.70911679381782</v>
      </c>
      <c r="W37" s="8">
        <v>16.911271360437368</v>
      </c>
      <c r="X37" s="8">
        <v>23.188426681822975</v>
      </c>
      <c r="Y37" s="8">
        <v>19.065704840690287</v>
      </c>
      <c r="Z37" s="8">
        <v>21.874983886813215</v>
      </c>
      <c r="AA37" s="8">
        <v>19.132241178861563</v>
      </c>
      <c r="AB37" s="8">
        <v>16.39560261674599</v>
      </c>
      <c r="AC37" s="8">
        <v>18.553209490502578</v>
      </c>
    </row>
    <row r="38" spans="1:29" ht="45" x14ac:dyDescent="0.25">
      <c r="A38" s="9" t="s">
        <v>64</v>
      </c>
      <c r="B38" s="10" t="s">
        <v>32</v>
      </c>
      <c r="C38" s="11">
        <f t="shared" ref="C38:C69" si="1">MAX(D38:AC38)</f>
        <v>257.88820632682518</v>
      </c>
      <c r="D38" s="8">
        <v>149.15959846681605</v>
      </c>
      <c r="E38" s="8">
        <v>182.09203355938754</v>
      </c>
      <c r="F38" s="8">
        <v>125.622223329706</v>
      </c>
      <c r="G38" s="8">
        <v>257.88820632682518</v>
      </c>
      <c r="H38" s="8">
        <v>173.58442533330361</v>
      </c>
      <c r="I38" s="8">
        <v>139.87293604987093</v>
      </c>
      <c r="J38" s="8">
        <v>133.43785803242577</v>
      </c>
      <c r="K38" s="8">
        <v>146.35212109022416</v>
      </c>
      <c r="L38" s="8">
        <v>121.08882324798986</v>
      </c>
      <c r="M38" s="8">
        <v>155.53319908625613</v>
      </c>
      <c r="N38" s="8">
        <v>165.5219858475073</v>
      </c>
      <c r="O38" s="8">
        <v>187.27945609135074</v>
      </c>
      <c r="P38" s="8">
        <v>149.31867641232475</v>
      </c>
      <c r="Q38" s="8">
        <v>128.36282070070413</v>
      </c>
      <c r="R38" s="8">
        <v>241.8644526350171</v>
      </c>
      <c r="S38" s="8">
        <v>214.65439219187539</v>
      </c>
      <c r="T38" s="8">
        <v>188.1375578404658</v>
      </c>
      <c r="U38" s="8">
        <v>140.24799841394619</v>
      </c>
      <c r="V38" s="8">
        <v>123.38205114436037</v>
      </c>
      <c r="W38" s="8">
        <v>152.20144224393633</v>
      </c>
      <c r="X38" s="8">
        <v>208.69584013640679</v>
      </c>
      <c r="Y38" s="8">
        <v>171.59134356621263</v>
      </c>
      <c r="Z38" s="8">
        <v>196.87485498131895</v>
      </c>
      <c r="AA38" s="8">
        <v>172.19017060975406</v>
      </c>
      <c r="AB38" s="8">
        <v>147.56042355071389</v>
      </c>
      <c r="AC38" s="8">
        <v>166.97888541452323</v>
      </c>
    </row>
    <row r="39" spans="1:29" ht="30" x14ac:dyDescent="0.25">
      <c r="A39" s="9" t="s">
        <v>65</v>
      </c>
      <c r="B39" s="10"/>
      <c r="C39" s="11">
        <f t="shared" si="1"/>
        <v>0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</row>
    <row r="40" spans="1:29" x14ac:dyDescent="0.25">
      <c r="A40" s="9" t="s">
        <v>66</v>
      </c>
      <c r="B40" s="10" t="s">
        <v>32</v>
      </c>
      <c r="C40" s="11">
        <f t="shared" si="1"/>
        <v>461.15801067646055</v>
      </c>
      <c r="D40" s="8">
        <v>269.33396060277607</v>
      </c>
      <c r="E40" s="8">
        <v>461.15801067646055</v>
      </c>
      <c r="F40" s="8">
        <v>371.65991387940204</v>
      </c>
      <c r="G40" s="8">
        <v>314.98700743905852</v>
      </c>
      <c r="H40" s="8">
        <v>302.56357169977684</v>
      </c>
      <c r="I40" s="8">
        <v>324.12391425910067</v>
      </c>
      <c r="J40" s="8">
        <v>428.05436469380362</v>
      </c>
      <c r="K40" s="8">
        <v>243.92020181704029</v>
      </c>
      <c r="L40" s="8">
        <v>240.57303496327577</v>
      </c>
      <c r="M40" s="8">
        <v>349.92498681922717</v>
      </c>
      <c r="N40" s="8">
        <v>266.15845868448434</v>
      </c>
      <c r="O40" s="8">
        <v>256.95905809406338</v>
      </c>
      <c r="P40" s="8">
        <v>248.8644606872079</v>
      </c>
      <c r="Q40" s="8">
        <v>209.09192423004913</v>
      </c>
      <c r="R40" s="8">
        <v>435.76907290111092</v>
      </c>
      <c r="S40" s="8">
        <v>352.5371347409673</v>
      </c>
      <c r="T40" s="8">
        <v>324.50024040493008</v>
      </c>
      <c r="U40" s="8">
        <v>233.74666402324368</v>
      </c>
      <c r="V40" s="8">
        <v>184.27366212228009</v>
      </c>
      <c r="W40" s="8">
        <v>253.66907040656054</v>
      </c>
      <c r="X40" s="8">
        <v>444.0751789596909</v>
      </c>
      <c r="Y40" s="8">
        <v>275.53363792216453</v>
      </c>
      <c r="Z40" s="8">
        <v>290.1950744852673</v>
      </c>
      <c r="AA40" s="8">
        <v>286.98361768292341</v>
      </c>
      <c r="AB40" s="8">
        <v>245.9340392511898</v>
      </c>
      <c r="AC40" s="8">
        <v>278.29814235753872</v>
      </c>
    </row>
    <row r="41" spans="1:29" x14ac:dyDescent="0.25">
      <c r="A41" s="9" t="s">
        <v>67</v>
      </c>
      <c r="B41" s="10" t="s">
        <v>32</v>
      </c>
      <c r="C41" s="11">
        <f t="shared" si="1"/>
        <v>403.10742105836187</v>
      </c>
      <c r="D41" s="8">
        <v>248.59933077802674</v>
      </c>
      <c r="E41" s="8">
        <v>303.48672259897933</v>
      </c>
      <c r="F41" s="8">
        <v>209.37037221617663</v>
      </c>
      <c r="G41" s="8">
        <v>264.69788860480224</v>
      </c>
      <c r="H41" s="8">
        <v>289.30737555550598</v>
      </c>
      <c r="I41" s="8">
        <v>233.12156008311825</v>
      </c>
      <c r="J41" s="8">
        <v>222.3964300540429</v>
      </c>
      <c r="K41" s="8">
        <v>243.92020181704029</v>
      </c>
      <c r="L41" s="8">
        <v>201.8147054133164</v>
      </c>
      <c r="M41" s="8">
        <v>259.22199847709356</v>
      </c>
      <c r="N41" s="8">
        <v>275.86997641251219</v>
      </c>
      <c r="O41" s="8">
        <v>221.81606137239049</v>
      </c>
      <c r="P41" s="8">
        <v>248.8644606872079</v>
      </c>
      <c r="Q41" s="8">
        <v>213.93803450117355</v>
      </c>
      <c r="R41" s="8">
        <v>403.10742105836187</v>
      </c>
      <c r="S41" s="8">
        <v>357.75732031979226</v>
      </c>
      <c r="T41" s="8">
        <v>313.56259640077633</v>
      </c>
      <c r="U41" s="8">
        <v>233.74666402324368</v>
      </c>
      <c r="V41" s="8">
        <v>205.6367519072673</v>
      </c>
      <c r="W41" s="8">
        <v>253.66907040656054</v>
      </c>
      <c r="X41" s="8">
        <v>347.82640022734472</v>
      </c>
      <c r="Y41" s="8">
        <v>285.98557261035432</v>
      </c>
      <c r="Z41" s="8">
        <v>328.12475830219825</v>
      </c>
      <c r="AA41" s="8">
        <v>286.98361768292341</v>
      </c>
      <c r="AB41" s="8">
        <v>245.9340392511898</v>
      </c>
      <c r="AC41" s="8">
        <v>278.29814235753872</v>
      </c>
    </row>
    <row r="42" spans="1:29" x14ac:dyDescent="0.25">
      <c r="A42" s="9" t="s">
        <v>68</v>
      </c>
      <c r="B42" s="10" t="s">
        <v>32</v>
      </c>
      <c r="C42" s="11">
        <f t="shared" si="1"/>
        <v>161.24296842334473</v>
      </c>
      <c r="D42" s="8">
        <v>99.439732311210705</v>
      </c>
      <c r="E42" s="8">
        <v>121.39468903959171</v>
      </c>
      <c r="F42" s="8">
        <v>83.748148886470688</v>
      </c>
      <c r="G42" s="8">
        <v>105.87915544192089</v>
      </c>
      <c r="H42" s="8">
        <v>115.7229502222024</v>
      </c>
      <c r="I42" s="8">
        <v>93.248624033247296</v>
      </c>
      <c r="J42" s="8">
        <v>88.958572021617158</v>
      </c>
      <c r="K42" s="8">
        <v>97.568080726816106</v>
      </c>
      <c r="L42" s="8">
        <v>80.725882165326581</v>
      </c>
      <c r="M42" s="8">
        <v>103.6887993908374</v>
      </c>
      <c r="N42" s="8">
        <v>110.34799056500486</v>
      </c>
      <c r="O42" s="8">
        <v>88.726424548956189</v>
      </c>
      <c r="P42" s="8">
        <v>99.545784274883147</v>
      </c>
      <c r="Q42" s="8">
        <v>85.575213800469413</v>
      </c>
      <c r="R42" s="8">
        <v>161.24296842334473</v>
      </c>
      <c r="S42" s="8">
        <v>143.1029281279169</v>
      </c>
      <c r="T42" s="8">
        <v>125.42503856031054</v>
      </c>
      <c r="U42" s="8">
        <v>93.498665609297475</v>
      </c>
      <c r="V42" s="8">
        <v>82.254700762906921</v>
      </c>
      <c r="W42" s="8">
        <v>101.46762816262422</v>
      </c>
      <c r="X42" s="8">
        <v>139.13056009093788</v>
      </c>
      <c r="Y42" s="8">
        <v>114.39422904414174</v>
      </c>
      <c r="Z42" s="8">
        <v>131.2499033208793</v>
      </c>
      <c r="AA42" s="8">
        <v>114.79344707316938</v>
      </c>
      <c r="AB42" s="8">
        <v>98.373615700475924</v>
      </c>
      <c r="AC42" s="8">
        <v>111.31925694301549</v>
      </c>
    </row>
    <row r="43" spans="1:29" ht="30" x14ac:dyDescent="0.25">
      <c r="A43" s="9" t="s">
        <v>69</v>
      </c>
      <c r="B43" s="10"/>
      <c r="C43" s="11">
        <f t="shared" si="1"/>
        <v>0</v>
      </c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</row>
    <row r="44" spans="1:29" x14ac:dyDescent="0.25">
      <c r="A44" s="9" t="s">
        <v>70</v>
      </c>
      <c r="B44" s="10" t="s">
        <v>32</v>
      </c>
      <c r="C44" s="11">
        <f t="shared" si="1"/>
        <v>229.23396117940015</v>
      </c>
      <c r="D44" s="8">
        <v>132.58630974828094</v>
      </c>
      <c r="E44" s="8">
        <v>161.85958538612226</v>
      </c>
      <c r="F44" s="8">
        <v>111.66419851529425</v>
      </c>
      <c r="G44" s="8">
        <v>229.23396117940015</v>
      </c>
      <c r="H44" s="8">
        <v>154.29726696293653</v>
      </c>
      <c r="I44" s="8">
        <v>157.96621145675002</v>
      </c>
      <c r="J44" s="8">
        <v>118.61142936215622</v>
      </c>
      <c r="K44" s="8">
        <v>130.09077430242149</v>
      </c>
      <c r="L44" s="8">
        <v>107.63450955376875</v>
      </c>
      <c r="M44" s="8">
        <v>138.25173252111657</v>
      </c>
      <c r="N44" s="8">
        <v>147.13065408667316</v>
      </c>
      <c r="O44" s="8">
        <v>177.10157433425354</v>
      </c>
      <c r="P44" s="8">
        <v>132.72771236651087</v>
      </c>
      <c r="Q44" s="8">
        <v>114.10028506729255</v>
      </c>
      <c r="R44" s="8">
        <v>214.99062456445969</v>
      </c>
      <c r="S44" s="8">
        <v>190.80390417055585</v>
      </c>
      <c r="T44" s="8">
        <v>167.23338474708072</v>
      </c>
      <c r="U44" s="8">
        <v>124.66488747906328</v>
      </c>
      <c r="V44" s="8">
        <v>109.67293435054256</v>
      </c>
      <c r="W44" s="8">
        <v>135.29017088349894</v>
      </c>
      <c r="X44" s="8">
        <v>185.5074134545838</v>
      </c>
      <c r="Y44" s="8">
        <v>152.5256387255223</v>
      </c>
      <c r="Z44" s="8">
        <v>174.99987109450572</v>
      </c>
      <c r="AA44" s="8">
        <v>153.0579294308925</v>
      </c>
      <c r="AB44" s="8">
        <v>131.16482093396792</v>
      </c>
      <c r="AC44" s="8">
        <v>148.42567592402062</v>
      </c>
    </row>
    <row r="45" spans="1:29" ht="30" x14ac:dyDescent="0.25">
      <c r="A45" s="9" t="s">
        <v>71</v>
      </c>
      <c r="B45" s="10" t="s">
        <v>32</v>
      </c>
      <c r="C45" s="11">
        <f t="shared" si="1"/>
        <v>229.23396117940015</v>
      </c>
      <c r="D45" s="8">
        <v>132.58630974828094</v>
      </c>
      <c r="E45" s="8">
        <v>161.85958538612226</v>
      </c>
      <c r="F45" s="8">
        <v>111.66419851529425</v>
      </c>
      <c r="G45" s="8">
        <v>229.23396117940015</v>
      </c>
      <c r="H45" s="8">
        <v>154.29726696293653</v>
      </c>
      <c r="I45" s="8">
        <v>157.96621145675002</v>
      </c>
      <c r="J45" s="8">
        <v>118.61142936215622</v>
      </c>
      <c r="K45" s="8">
        <v>130.09077430242149</v>
      </c>
      <c r="L45" s="8">
        <v>107.63450955376875</v>
      </c>
      <c r="M45" s="8">
        <v>138.25173252111657</v>
      </c>
      <c r="N45" s="8">
        <v>147.13065408667316</v>
      </c>
      <c r="O45" s="8">
        <v>118.30189939860827</v>
      </c>
      <c r="P45" s="8">
        <v>132.72771236651087</v>
      </c>
      <c r="Q45" s="8">
        <v>114.10028506729255</v>
      </c>
      <c r="R45" s="8">
        <v>214.99062456445969</v>
      </c>
      <c r="S45" s="8">
        <v>190.80390417055585</v>
      </c>
      <c r="T45" s="8">
        <v>167.23338474708072</v>
      </c>
      <c r="U45" s="8">
        <v>124.66488747906328</v>
      </c>
      <c r="V45" s="8">
        <v>109.67293435054256</v>
      </c>
      <c r="W45" s="8">
        <v>135.29017088349894</v>
      </c>
      <c r="X45" s="8">
        <v>185.5074134545838</v>
      </c>
      <c r="Y45" s="8">
        <v>152.5256387255223</v>
      </c>
      <c r="Z45" s="8">
        <v>174.99987109450572</v>
      </c>
      <c r="AA45" s="8">
        <v>153.0579294308925</v>
      </c>
      <c r="AB45" s="8">
        <v>131.16482093396792</v>
      </c>
      <c r="AC45" s="8">
        <v>148.42567592402062</v>
      </c>
    </row>
    <row r="46" spans="1:29" ht="30" x14ac:dyDescent="0.25">
      <c r="A46" s="9" t="s">
        <v>72</v>
      </c>
      <c r="B46" s="10" t="s">
        <v>32</v>
      </c>
      <c r="C46" s="11">
        <f t="shared" si="1"/>
        <v>161.24296842334473</v>
      </c>
      <c r="D46" s="8">
        <v>99.439732311210705</v>
      </c>
      <c r="E46" s="8">
        <v>121.39468903959171</v>
      </c>
      <c r="F46" s="8">
        <v>83.748148886470688</v>
      </c>
      <c r="G46" s="8">
        <v>130.24883929470772</v>
      </c>
      <c r="H46" s="8">
        <v>115.7229502222024</v>
      </c>
      <c r="I46" s="8">
        <v>118.47465859256249</v>
      </c>
      <c r="J46" s="8">
        <v>88.958572021617158</v>
      </c>
      <c r="K46" s="8">
        <v>97.568080726816106</v>
      </c>
      <c r="L46" s="8">
        <v>80.725882165326581</v>
      </c>
      <c r="M46" s="8">
        <v>103.6887993908374</v>
      </c>
      <c r="N46" s="8">
        <v>110.34799056500486</v>
      </c>
      <c r="O46" s="8">
        <v>88.726424548956189</v>
      </c>
      <c r="P46" s="8">
        <v>99.545784274883147</v>
      </c>
      <c r="Q46" s="8">
        <v>85.575213800469413</v>
      </c>
      <c r="R46" s="8">
        <v>161.24296842334473</v>
      </c>
      <c r="S46" s="8">
        <v>143.1029281279169</v>
      </c>
      <c r="T46" s="8">
        <v>148.6813302262656</v>
      </c>
      <c r="U46" s="8">
        <v>93.498665609297475</v>
      </c>
      <c r="V46" s="8">
        <v>82.254700762906921</v>
      </c>
      <c r="W46" s="8">
        <v>101.46762816262422</v>
      </c>
      <c r="X46" s="8">
        <v>139.13056009093788</v>
      </c>
      <c r="Y46" s="8">
        <v>114.39422904414174</v>
      </c>
      <c r="Z46" s="8">
        <v>131.2499033208793</v>
      </c>
      <c r="AA46" s="8">
        <v>114.79344707316938</v>
      </c>
      <c r="AB46" s="8">
        <v>98.373615700475924</v>
      </c>
      <c r="AC46" s="8">
        <v>111.31925694301549</v>
      </c>
    </row>
    <row r="47" spans="1:29" x14ac:dyDescent="0.25">
      <c r="A47" s="6" t="s">
        <v>73</v>
      </c>
      <c r="B47" s="10"/>
      <c r="C47" s="11">
        <f t="shared" si="1"/>
        <v>0</v>
      </c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</row>
    <row r="48" spans="1:29" x14ac:dyDescent="0.25">
      <c r="A48" s="9" t="s">
        <v>74</v>
      </c>
      <c r="B48" s="10" t="s">
        <v>32</v>
      </c>
      <c r="C48" s="11">
        <f t="shared" si="1"/>
        <v>299.00324130416158</v>
      </c>
      <c r="D48" s="8">
        <v>240.64530576342364</v>
      </c>
      <c r="E48" s="8">
        <v>195.36765511775198</v>
      </c>
      <c r="F48" s="8">
        <v>111.66419851529425</v>
      </c>
      <c r="G48" s="8">
        <v>176.90900627302412</v>
      </c>
      <c r="H48" s="8">
        <v>244.7967522619947</v>
      </c>
      <c r="I48" s="8">
        <v>162.13988714358561</v>
      </c>
      <c r="J48" s="8">
        <v>156.35442928704987</v>
      </c>
      <c r="K48" s="8">
        <v>223.77599662297428</v>
      </c>
      <c r="L48" s="8">
        <v>175.19723074753799</v>
      </c>
      <c r="M48" s="8">
        <v>194.48190913492911</v>
      </c>
      <c r="N48" s="8">
        <v>189.28042175804606</v>
      </c>
      <c r="O48" s="8">
        <v>166.47062763675621</v>
      </c>
      <c r="P48" s="8">
        <v>184.75038168318105</v>
      </c>
      <c r="Q48" s="8">
        <v>151.17434804168096</v>
      </c>
      <c r="R48" s="8">
        <v>240.68678481216213</v>
      </c>
      <c r="S48" s="8">
        <v>190.80390417055585</v>
      </c>
      <c r="T48" s="8">
        <v>198.24177363502082</v>
      </c>
      <c r="U48" s="8">
        <v>155.9458628104544</v>
      </c>
      <c r="V48" s="8">
        <v>173.16190318847947</v>
      </c>
      <c r="W48" s="8">
        <v>173.63555261522856</v>
      </c>
      <c r="X48" s="8">
        <v>299.00324130416158</v>
      </c>
      <c r="Y48" s="8">
        <v>204.17971393187983</v>
      </c>
      <c r="Z48" s="8">
        <v>196.60570876501316</v>
      </c>
      <c r="AA48" s="8">
        <v>228.48921557386092</v>
      </c>
      <c r="AB48" s="8">
        <v>160.39705084539497</v>
      </c>
      <c r="AC48" s="8">
        <v>251.50746421835856</v>
      </c>
    </row>
    <row r="49" spans="1:29" x14ac:dyDescent="0.25">
      <c r="A49" s="6" t="s">
        <v>75</v>
      </c>
      <c r="B49" s="10"/>
      <c r="C49" s="11">
        <f t="shared" si="1"/>
        <v>0</v>
      </c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</row>
    <row r="50" spans="1:29" ht="30" x14ac:dyDescent="0.25">
      <c r="A50" s="9" t="s">
        <v>76</v>
      </c>
      <c r="B50" s="10" t="s">
        <v>32</v>
      </c>
      <c r="C50" s="11">
        <f t="shared" si="1"/>
        <v>477.38726805770636</v>
      </c>
      <c r="D50" s="8">
        <v>198.87946462242141</v>
      </c>
      <c r="E50" s="8">
        <v>403.47546278202452</v>
      </c>
      <c r="F50" s="8">
        <v>446.60467403267194</v>
      </c>
      <c r="G50" s="8">
        <v>260.49767858941544</v>
      </c>
      <c r="H50" s="8">
        <v>231.4459004444048</v>
      </c>
      <c r="I50" s="8">
        <v>243.20983071537839</v>
      </c>
      <c r="J50" s="8">
        <v>255.85344011771738</v>
      </c>
      <c r="K50" s="8">
        <v>195.13616145363221</v>
      </c>
      <c r="L50" s="8">
        <v>161.45176433065316</v>
      </c>
      <c r="M50" s="8">
        <v>254.79267260512361</v>
      </c>
      <c r="N50" s="8">
        <v>347.84162975211461</v>
      </c>
      <c r="O50" s="8">
        <v>252.40448748331823</v>
      </c>
      <c r="P50" s="8">
        <v>277.1255725247716</v>
      </c>
      <c r="Q50" s="8">
        <v>204.01686184356157</v>
      </c>
      <c r="R50" s="8">
        <v>391.28893070486515</v>
      </c>
      <c r="S50" s="8">
        <v>286.20585625583379</v>
      </c>
      <c r="T50" s="8">
        <v>250.85007712062108</v>
      </c>
      <c r="U50" s="8">
        <v>186.99733121859495</v>
      </c>
      <c r="V50" s="8">
        <v>164.50940152581384</v>
      </c>
      <c r="W50" s="8">
        <v>332.99158252839908</v>
      </c>
      <c r="X50" s="8">
        <v>448.52046310212131</v>
      </c>
      <c r="Y50" s="8">
        <v>228.78845808828348</v>
      </c>
      <c r="Z50" s="8">
        <v>267.29080000676822</v>
      </c>
      <c r="AA50" s="8">
        <v>477.38726805770636</v>
      </c>
      <c r="AB50" s="8">
        <v>240.59557626809249</v>
      </c>
      <c r="AC50" s="8">
        <v>270.1805479288837</v>
      </c>
    </row>
    <row r="51" spans="1:29" ht="120" x14ac:dyDescent="0.25">
      <c r="A51" s="4" t="s">
        <v>77</v>
      </c>
      <c r="B51" s="4"/>
      <c r="C51" s="11">
        <f t="shared" si="1"/>
        <v>0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</row>
    <row r="52" spans="1:29" x14ac:dyDescent="0.25">
      <c r="A52" s="6" t="s">
        <v>78</v>
      </c>
      <c r="B52" s="6"/>
      <c r="C52" s="11">
        <f t="shared" si="1"/>
        <v>0</v>
      </c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</row>
    <row r="53" spans="1:29" x14ac:dyDescent="0.25">
      <c r="A53" s="9" t="s">
        <v>31</v>
      </c>
      <c r="B53" s="10" t="s">
        <v>32</v>
      </c>
      <c r="C53" s="11">
        <f t="shared" si="1"/>
        <v>161.24296842334473</v>
      </c>
      <c r="D53" s="8">
        <v>99.439732311210705</v>
      </c>
      <c r="E53" s="8">
        <v>121.39468903959171</v>
      </c>
      <c r="F53" s="8">
        <v>83.748148886470688</v>
      </c>
      <c r="G53" s="8">
        <v>105.87915544192089</v>
      </c>
      <c r="H53" s="8">
        <v>115.7229502222024</v>
      </c>
      <c r="I53" s="8"/>
      <c r="J53" s="8">
        <v>88.958572021617158</v>
      </c>
      <c r="K53" s="8">
        <v>97.568080726816106</v>
      </c>
      <c r="L53" s="8">
        <v>80.725882165326581</v>
      </c>
      <c r="M53" s="8">
        <v>103.6887993908374</v>
      </c>
      <c r="N53" s="8">
        <v>110.34799056500486</v>
      </c>
      <c r="O53" s="8">
        <v>88.726424548956189</v>
      </c>
      <c r="P53" s="8">
        <v>99.545784274883147</v>
      </c>
      <c r="Q53" s="8">
        <v>85.575213800469413</v>
      </c>
      <c r="R53" s="8">
        <v>161.24296842334473</v>
      </c>
      <c r="S53" s="8">
        <v>143.1029281279169</v>
      </c>
      <c r="T53" s="8">
        <v>125.42503856031054</v>
      </c>
      <c r="U53" s="8">
        <v>79.586996460470786</v>
      </c>
      <c r="V53" s="8">
        <v>82.254700762906921</v>
      </c>
      <c r="W53" s="8">
        <v>101.46762816262422</v>
      </c>
      <c r="X53" s="8">
        <v>139.13056009093788</v>
      </c>
      <c r="Y53" s="8">
        <v>114.39422904414174</v>
      </c>
      <c r="Z53" s="8">
        <v>131.2499033208793</v>
      </c>
      <c r="AA53" s="8"/>
      <c r="AB53" s="8">
        <v>98.373615700475924</v>
      </c>
      <c r="AC53" s="8">
        <v>111.31925694301549</v>
      </c>
    </row>
    <row r="54" spans="1:29" x14ac:dyDescent="0.25">
      <c r="A54" s="9" t="s">
        <v>33</v>
      </c>
      <c r="B54" s="10" t="s">
        <v>32</v>
      </c>
      <c r="C54" s="11">
        <f t="shared" si="1"/>
        <v>161.24296842334473</v>
      </c>
      <c r="D54" s="8">
        <v>99.439732311210705</v>
      </c>
      <c r="E54" s="8">
        <v>121.39468903959171</v>
      </c>
      <c r="F54" s="8">
        <v>83.748148886470688</v>
      </c>
      <c r="G54" s="8">
        <v>105.87915544192089</v>
      </c>
      <c r="H54" s="8">
        <v>115.7229502222024</v>
      </c>
      <c r="I54" s="8"/>
      <c r="J54" s="8">
        <v>88.958572021617158</v>
      </c>
      <c r="K54" s="8">
        <v>97.568080726816106</v>
      </c>
      <c r="L54" s="8">
        <v>80.725882165326581</v>
      </c>
      <c r="M54" s="8">
        <v>103.6887993908374</v>
      </c>
      <c r="N54" s="8">
        <v>110.34799056500486</v>
      </c>
      <c r="O54" s="8">
        <v>88.726424548956189</v>
      </c>
      <c r="P54" s="8">
        <v>99.545784274883147</v>
      </c>
      <c r="Q54" s="8">
        <v>85.575213800469413</v>
      </c>
      <c r="R54" s="8">
        <v>161.24296842334473</v>
      </c>
      <c r="S54" s="8">
        <v>143.1029281279169</v>
      </c>
      <c r="T54" s="8">
        <v>125.42503856031054</v>
      </c>
      <c r="U54" s="8">
        <v>79.586996460470786</v>
      </c>
      <c r="V54" s="8">
        <v>82.254700762906921</v>
      </c>
      <c r="W54" s="8">
        <v>101.46762816262422</v>
      </c>
      <c r="X54" s="8">
        <v>139.13056009093788</v>
      </c>
      <c r="Y54" s="8">
        <v>114.39422904414174</v>
      </c>
      <c r="Z54" s="8">
        <v>131.2499033208793</v>
      </c>
      <c r="AA54" s="8"/>
      <c r="AB54" s="8">
        <v>98.373615700475924</v>
      </c>
      <c r="AC54" s="8">
        <v>111.31925694301549</v>
      </c>
    </row>
    <row r="55" spans="1:29" ht="45" x14ac:dyDescent="0.25">
      <c r="A55" s="9" t="s">
        <v>34</v>
      </c>
      <c r="B55" s="10" t="s">
        <v>32</v>
      </c>
      <c r="C55" s="11">
        <f t="shared" si="1"/>
        <v>161.24296842334473</v>
      </c>
      <c r="D55" s="8">
        <v>99.439732311210705</v>
      </c>
      <c r="E55" s="8">
        <v>121.39468903959171</v>
      </c>
      <c r="F55" s="8">
        <v>83.748148886470688</v>
      </c>
      <c r="G55" s="8">
        <v>105.87915544192089</v>
      </c>
      <c r="H55" s="8">
        <v>115.7229502222024</v>
      </c>
      <c r="I55" s="8"/>
      <c r="J55" s="8">
        <v>91.336711371767308</v>
      </c>
      <c r="K55" s="8">
        <v>97.568080726816106</v>
      </c>
      <c r="L55" s="8">
        <v>80.725882165326581</v>
      </c>
      <c r="M55" s="8">
        <v>103.6887993908374</v>
      </c>
      <c r="N55" s="8">
        <v>110.34799056500486</v>
      </c>
      <c r="O55" s="8">
        <v>88.726424548956189</v>
      </c>
      <c r="P55" s="8">
        <v>99.545784274883147</v>
      </c>
      <c r="Q55" s="8">
        <v>85.575213800469413</v>
      </c>
      <c r="R55" s="8">
        <v>161.24296842334473</v>
      </c>
      <c r="S55" s="8">
        <v>143.1029281279169</v>
      </c>
      <c r="T55" s="8">
        <v>125.42503856031054</v>
      </c>
      <c r="U55" s="8">
        <v>79.586996460470786</v>
      </c>
      <c r="V55" s="8">
        <v>82.254700762906921</v>
      </c>
      <c r="W55" s="8">
        <v>101.46762816262422</v>
      </c>
      <c r="X55" s="8">
        <v>139.13056009093788</v>
      </c>
      <c r="Y55" s="8">
        <v>114.39422904414174</v>
      </c>
      <c r="Z55" s="8">
        <v>131.2499033208793</v>
      </c>
      <c r="AA55" s="8"/>
      <c r="AB55" s="8">
        <v>98.373615700475924</v>
      </c>
      <c r="AC55" s="8">
        <v>111.31925694301549</v>
      </c>
    </row>
    <row r="56" spans="1:29" x14ac:dyDescent="0.25">
      <c r="A56" s="9" t="s">
        <v>79</v>
      </c>
      <c r="B56" s="10" t="s">
        <v>32</v>
      </c>
      <c r="C56" s="11">
        <f t="shared" si="1"/>
        <v>322.48593684668947</v>
      </c>
      <c r="D56" s="8">
        <v>198.87946462242141</v>
      </c>
      <c r="E56" s="8">
        <v>242.78937807918342</v>
      </c>
      <c r="F56" s="8">
        <v>167.49629777294138</v>
      </c>
      <c r="G56" s="8">
        <v>211.75831088384177</v>
      </c>
      <c r="H56" s="8">
        <v>231.4459004444048</v>
      </c>
      <c r="I56" s="8"/>
      <c r="J56" s="8">
        <v>200.16997024028058</v>
      </c>
      <c r="K56" s="8">
        <v>195.13616145363221</v>
      </c>
      <c r="L56" s="8">
        <v>161.45176433065316</v>
      </c>
      <c r="M56" s="8">
        <v>207.37759878167481</v>
      </c>
      <c r="N56" s="8">
        <v>220.69598113000973</v>
      </c>
      <c r="O56" s="8">
        <v>177.45284909791238</v>
      </c>
      <c r="P56" s="8">
        <v>199.09156854976629</v>
      </c>
      <c r="Q56" s="8">
        <v>171.15042760093883</v>
      </c>
      <c r="R56" s="8">
        <v>322.48593684668947</v>
      </c>
      <c r="S56" s="8">
        <v>286.20585625583379</v>
      </c>
      <c r="T56" s="8">
        <v>250.85007712062108</v>
      </c>
      <c r="U56" s="8">
        <v>159.17399292094157</v>
      </c>
      <c r="V56" s="8">
        <v>164.50940152581384</v>
      </c>
      <c r="W56" s="8">
        <v>202.93525632524845</v>
      </c>
      <c r="X56" s="8">
        <v>278.26112018187575</v>
      </c>
      <c r="Y56" s="8">
        <v>228.78845808828348</v>
      </c>
      <c r="Z56" s="8">
        <v>262.4998066417586</v>
      </c>
      <c r="AA56" s="8"/>
      <c r="AB56" s="8">
        <v>196.74723140095185</v>
      </c>
      <c r="AC56" s="8">
        <v>222.63851388603098</v>
      </c>
    </row>
    <row r="57" spans="1:29" x14ac:dyDescent="0.25">
      <c r="A57" s="9" t="s">
        <v>80</v>
      </c>
      <c r="B57" s="10" t="s">
        <v>32</v>
      </c>
      <c r="C57" s="11">
        <f t="shared" si="1"/>
        <v>53.747656141114923</v>
      </c>
      <c r="D57" s="8">
        <v>33.146577437070235</v>
      </c>
      <c r="E57" s="8">
        <v>40.464896346530566</v>
      </c>
      <c r="F57" s="8">
        <v>27.916049628823561</v>
      </c>
      <c r="G57" s="8">
        <v>35.293051813973634</v>
      </c>
      <c r="H57" s="8">
        <v>38.574316740734133</v>
      </c>
      <c r="I57" s="8"/>
      <c r="J57" s="8">
        <v>29.652857340539054</v>
      </c>
      <c r="K57" s="8">
        <v>32.522693575605373</v>
      </c>
      <c r="L57" s="8">
        <v>26.908627388442188</v>
      </c>
      <c r="M57" s="8">
        <v>34.562933130279141</v>
      </c>
      <c r="N57" s="8">
        <v>36.78266352166829</v>
      </c>
      <c r="O57" s="8">
        <v>29.575474849652068</v>
      </c>
      <c r="P57" s="8">
        <v>33.181928091627718</v>
      </c>
      <c r="Q57" s="8">
        <v>28.525071266823137</v>
      </c>
      <c r="R57" s="8">
        <v>53.747656141114923</v>
      </c>
      <c r="S57" s="8">
        <v>47.700976042638963</v>
      </c>
      <c r="T57" s="8">
        <v>41.80834618677018</v>
      </c>
      <c r="U57" s="8">
        <v>26.528998820156929</v>
      </c>
      <c r="V57" s="8">
        <v>27.41823358763564</v>
      </c>
      <c r="W57" s="8">
        <v>33.822542720874736</v>
      </c>
      <c r="X57" s="8">
        <v>46.376853363645949</v>
      </c>
      <c r="Y57" s="8">
        <v>38.131409681380575</v>
      </c>
      <c r="Z57" s="8">
        <v>43.74996777362643</v>
      </c>
      <c r="AA57" s="8"/>
      <c r="AB57" s="8">
        <v>32.791205233491979</v>
      </c>
      <c r="AC57" s="8">
        <v>37.106418981005156</v>
      </c>
    </row>
    <row r="58" spans="1:29" x14ac:dyDescent="0.25">
      <c r="A58" s="9" t="s">
        <v>81</v>
      </c>
      <c r="B58" s="10" t="s">
        <v>32</v>
      </c>
      <c r="C58" s="11">
        <f t="shared" si="1"/>
        <v>26.873828070557462</v>
      </c>
      <c r="D58" s="8">
        <v>16.573288718535117</v>
      </c>
      <c r="E58" s="8">
        <v>20.232448173265283</v>
      </c>
      <c r="F58" s="8">
        <v>13.958024814411781</v>
      </c>
      <c r="G58" s="8">
        <v>17.646525906986817</v>
      </c>
      <c r="H58" s="8">
        <v>19.287158370367067</v>
      </c>
      <c r="I58" s="8"/>
      <c r="J58" s="8">
        <v>14.826428670269527</v>
      </c>
      <c r="K58" s="8">
        <v>16.261346787802687</v>
      </c>
      <c r="L58" s="8">
        <v>13.454313694221094</v>
      </c>
      <c r="M58" s="8">
        <v>17.281466565139571</v>
      </c>
      <c r="N58" s="8">
        <v>18.391331760834145</v>
      </c>
      <c r="O58" s="8">
        <v>14.787737424826034</v>
      </c>
      <c r="P58" s="8">
        <v>16.590964045813859</v>
      </c>
      <c r="Q58" s="8">
        <v>14.262535633411568</v>
      </c>
      <c r="R58" s="8">
        <v>26.873828070557462</v>
      </c>
      <c r="S58" s="8">
        <v>23.850488021319482</v>
      </c>
      <c r="T58" s="8">
        <v>20.90417309338509</v>
      </c>
      <c r="U58" s="8">
        <v>13.264499410078464</v>
      </c>
      <c r="V58" s="8">
        <v>13.70911679381782</v>
      </c>
      <c r="W58" s="8">
        <v>16.911271360437368</v>
      </c>
      <c r="X58" s="8">
        <v>23.188426681822975</v>
      </c>
      <c r="Y58" s="8">
        <v>19.065704840690287</v>
      </c>
      <c r="Z58" s="8">
        <v>21.874983886813215</v>
      </c>
      <c r="AA58" s="8"/>
      <c r="AB58" s="8">
        <v>16.39560261674599</v>
      </c>
      <c r="AC58" s="8">
        <v>18.553209490502578</v>
      </c>
    </row>
    <row r="59" spans="1:29" x14ac:dyDescent="0.25">
      <c r="A59" s="9" t="s">
        <v>82</v>
      </c>
      <c r="B59" s="10" t="s">
        <v>32</v>
      </c>
      <c r="C59" s="11">
        <f t="shared" si="1"/>
        <v>107.49531228222985</v>
      </c>
      <c r="D59" s="8">
        <v>66.29315487414047</v>
      </c>
      <c r="E59" s="8">
        <v>80.929792693061131</v>
      </c>
      <c r="F59" s="8">
        <v>55.832099257647123</v>
      </c>
      <c r="G59" s="8">
        <v>70.586103627947267</v>
      </c>
      <c r="H59" s="8">
        <v>77.148633481468266</v>
      </c>
      <c r="I59" s="8"/>
      <c r="J59" s="8">
        <v>59.305714681078108</v>
      </c>
      <c r="K59" s="8">
        <v>65.045387151210747</v>
      </c>
      <c r="L59" s="8">
        <v>53.817254776884376</v>
      </c>
      <c r="M59" s="8">
        <v>69.125866260558283</v>
      </c>
      <c r="N59" s="8">
        <v>73.56532704333658</v>
      </c>
      <c r="O59" s="8">
        <v>59.150949699304135</v>
      </c>
      <c r="P59" s="8">
        <v>66.363856183255436</v>
      </c>
      <c r="Q59" s="8">
        <v>57.050142533646273</v>
      </c>
      <c r="R59" s="8">
        <v>107.49531228222985</v>
      </c>
      <c r="S59" s="8">
        <v>95.401952085277927</v>
      </c>
      <c r="T59" s="8">
        <v>83.61669237354036</v>
      </c>
      <c r="U59" s="8">
        <v>53.057997640313857</v>
      </c>
      <c r="V59" s="8">
        <v>54.836467175271281</v>
      </c>
      <c r="W59" s="8">
        <v>67.645085441749472</v>
      </c>
      <c r="X59" s="8">
        <v>92.753706727291899</v>
      </c>
      <c r="Y59" s="8">
        <v>76.262819362761149</v>
      </c>
      <c r="Z59" s="8">
        <v>87.499935547252861</v>
      </c>
      <c r="AA59" s="8"/>
      <c r="AB59" s="8">
        <v>65.582410466983958</v>
      </c>
      <c r="AC59" s="8">
        <v>74.212837962010312</v>
      </c>
    </row>
    <row r="60" spans="1:29" x14ac:dyDescent="0.25">
      <c r="A60" s="9" t="s">
        <v>83</v>
      </c>
      <c r="B60" s="10" t="s">
        <v>32</v>
      </c>
      <c r="C60" s="11">
        <f t="shared" si="1"/>
        <v>80.621484211672367</v>
      </c>
      <c r="D60" s="8">
        <v>49.719866155605352</v>
      </c>
      <c r="E60" s="8">
        <v>60.697344519795855</v>
      </c>
      <c r="F60" s="8">
        <v>41.874074443235344</v>
      </c>
      <c r="G60" s="8">
        <v>52.939577720960443</v>
      </c>
      <c r="H60" s="8">
        <v>57.8614751111012</v>
      </c>
      <c r="I60" s="8"/>
      <c r="J60" s="8">
        <v>44.479286010808579</v>
      </c>
      <c r="K60" s="8">
        <v>48.784040363408053</v>
      </c>
      <c r="L60" s="8">
        <v>40.362941082663291</v>
      </c>
      <c r="M60" s="8">
        <v>51.844399695418701</v>
      </c>
      <c r="N60" s="8">
        <v>55.173995282502432</v>
      </c>
      <c r="O60" s="8">
        <v>44.363212274478094</v>
      </c>
      <c r="P60" s="8">
        <v>49.772892137441573</v>
      </c>
      <c r="Q60" s="8">
        <v>42.787606900234707</v>
      </c>
      <c r="R60" s="8">
        <v>80.621484211672367</v>
      </c>
      <c r="S60" s="8">
        <v>71.551464063958448</v>
      </c>
      <c r="T60" s="8">
        <v>62.71251928015527</v>
      </c>
      <c r="U60" s="8">
        <v>39.793498230235393</v>
      </c>
      <c r="V60" s="8">
        <v>41.127350381453461</v>
      </c>
      <c r="W60" s="8">
        <v>50.733814081312111</v>
      </c>
      <c r="X60" s="8">
        <v>69.565280045468938</v>
      </c>
      <c r="Y60" s="8">
        <v>57.197114522070869</v>
      </c>
      <c r="Z60" s="8">
        <v>65.624951660439649</v>
      </c>
      <c r="AA60" s="8"/>
      <c r="AB60" s="8">
        <v>49.186807850237962</v>
      </c>
      <c r="AC60" s="8">
        <v>55.659628471507745</v>
      </c>
    </row>
    <row r="61" spans="1:29" x14ac:dyDescent="0.25">
      <c r="A61" s="9" t="s">
        <v>41</v>
      </c>
      <c r="B61" s="10"/>
      <c r="C61" s="11">
        <f t="shared" si="1"/>
        <v>0</v>
      </c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</row>
    <row r="62" spans="1:29" x14ac:dyDescent="0.25">
      <c r="A62" s="9" t="s">
        <v>42</v>
      </c>
      <c r="B62" s="10" t="s">
        <v>32</v>
      </c>
      <c r="C62" s="11">
        <f t="shared" si="1"/>
        <v>26.873828070557462</v>
      </c>
      <c r="D62" s="8">
        <v>16.573288718535117</v>
      </c>
      <c r="E62" s="8">
        <v>20.232448173265283</v>
      </c>
      <c r="F62" s="8">
        <v>13.958024814411781</v>
      </c>
      <c r="G62" s="8">
        <v>17.646525906986817</v>
      </c>
      <c r="H62" s="8">
        <v>19.287158370367067</v>
      </c>
      <c r="I62" s="8"/>
      <c r="J62" s="8">
        <v>14.826428670269527</v>
      </c>
      <c r="K62" s="8">
        <v>16.261346787802687</v>
      </c>
      <c r="L62" s="8">
        <v>13.454313694221094</v>
      </c>
      <c r="M62" s="8">
        <v>17.281466565139571</v>
      </c>
      <c r="N62" s="8">
        <v>18.391331760834145</v>
      </c>
      <c r="O62" s="8">
        <v>14.787737424826034</v>
      </c>
      <c r="P62" s="8">
        <v>16.590964045813859</v>
      </c>
      <c r="Q62" s="8">
        <v>14.262535633411568</v>
      </c>
      <c r="R62" s="8">
        <v>26.873828070557462</v>
      </c>
      <c r="S62" s="8">
        <v>23.850488021319482</v>
      </c>
      <c r="T62" s="8">
        <v>20.90417309338509</v>
      </c>
      <c r="U62" s="8">
        <v>13.264499410078464</v>
      </c>
      <c r="V62" s="8">
        <v>13.70911679381782</v>
      </c>
      <c r="W62" s="8">
        <v>16.911271360437368</v>
      </c>
      <c r="X62" s="8">
        <v>23.188426681822975</v>
      </c>
      <c r="Y62" s="8">
        <v>19.065704840690287</v>
      </c>
      <c r="Z62" s="8">
        <v>21.874983886813215</v>
      </c>
      <c r="AA62" s="8"/>
      <c r="AB62" s="8">
        <v>16.39560261674599</v>
      </c>
      <c r="AC62" s="8">
        <v>18.553209490502578</v>
      </c>
    </row>
    <row r="63" spans="1:29" x14ac:dyDescent="0.25">
      <c r="A63" s="9" t="s">
        <v>43</v>
      </c>
      <c r="B63" s="10" t="s">
        <v>32</v>
      </c>
      <c r="C63" s="11">
        <f t="shared" si="1"/>
        <v>26.873828070557462</v>
      </c>
      <c r="D63" s="8">
        <v>16.573288718535117</v>
      </c>
      <c r="E63" s="8">
        <v>20.232448173265283</v>
      </c>
      <c r="F63" s="8">
        <v>13.958024814411781</v>
      </c>
      <c r="G63" s="8">
        <v>17.646525906986817</v>
      </c>
      <c r="H63" s="8">
        <v>19.287158370367067</v>
      </c>
      <c r="I63" s="8"/>
      <c r="J63" s="8">
        <v>14.826428670269527</v>
      </c>
      <c r="K63" s="8">
        <v>16.261346787802687</v>
      </c>
      <c r="L63" s="8">
        <v>13.454313694221094</v>
      </c>
      <c r="M63" s="8">
        <v>17.281466565139571</v>
      </c>
      <c r="N63" s="8">
        <v>18.391331760834145</v>
      </c>
      <c r="O63" s="8">
        <v>14.787737424826034</v>
      </c>
      <c r="P63" s="8">
        <v>16.590964045813859</v>
      </c>
      <c r="Q63" s="8">
        <v>14.262535633411568</v>
      </c>
      <c r="R63" s="8">
        <v>26.873828070557462</v>
      </c>
      <c r="S63" s="8">
        <v>23.850488021319482</v>
      </c>
      <c r="T63" s="8">
        <v>20.90417309338509</v>
      </c>
      <c r="U63" s="8">
        <v>13.264499410078464</v>
      </c>
      <c r="V63" s="8">
        <v>13.70911679381782</v>
      </c>
      <c r="W63" s="8">
        <v>16.911271360437368</v>
      </c>
      <c r="X63" s="8">
        <v>23.188426681822975</v>
      </c>
      <c r="Y63" s="8">
        <v>19.065704840690287</v>
      </c>
      <c r="Z63" s="8">
        <v>21.874983886813215</v>
      </c>
      <c r="AA63" s="8"/>
      <c r="AB63" s="8">
        <v>16.39560261674599</v>
      </c>
      <c r="AC63" s="8">
        <v>18.553209490502578</v>
      </c>
    </row>
    <row r="64" spans="1:29" x14ac:dyDescent="0.25">
      <c r="A64" s="9" t="s">
        <v>84</v>
      </c>
      <c r="B64" s="10" t="s">
        <v>32</v>
      </c>
      <c r="C64" s="11">
        <f t="shared" si="1"/>
        <v>80.621484211672367</v>
      </c>
      <c r="D64" s="8">
        <v>49.719866155605352</v>
      </c>
      <c r="E64" s="8">
        <v>60.697344519795855</v>
      </c>
      <c r="F64" s="8">
        <v>41.874074443235344</v>
      </c>
      <c r="G64" s="8">
        <v>52.939577720960443</v>
      </c>
      <c r="H64" s="8">
        <v>57.8614751111012</v>
      </c>
      <c r="I64" s="8"/>
      <c r="J64" s="8">
        <v>44.479286010808579</v>
      </c>
      <c r="K64" s="8">
        <v>48.784040363408053</v>
      </c>
      <c r="L64" s="8">
        <v>40.362941082663291</v>
      </c>
      <c r="M64" s="8">
        <v>51.844399695418701</v>
      </c>
      <c r="N64" s="8">
        <v>55.173995282502432</v>
      </c>
      <c r="O64" s="8">
        <v>44.363212274478094</v>
      </c>
      <c r="P64" s="8">
        <v>49.772892137441573</v>
      </c>
      <c r="Q64" s="8">
        <v>42.787606900234707</v>
      </c>
      <c r="R64" s="8">
        <v>80.621484211672367</v>
      </c>
      <c r="S64" s="8">
        <v>71.551464063958448</v>
      </c>
      <c r="T64" s="8">
        <v>62.71251928015527</v>
      </c>
      <c r="U64" s="8">
        <v>39.793498230235393</v>
      </c>
      <c r="V64" s="8">
        <v>41.127350381453461</v>
      </c>
      <c r="W64" s="8">
        <v>50.733814081312111</v>
      </c>
      <c r="X64" s="8">
        <v>69.565280045468938</v>
      </c>
      <c r="Y64" s="8">
        <v>57.197114522070869</v>
      </c>
      <c r="Z64" s="8">
        <v>65.624951660439649</v>
      </c>
      <c r="AA64" s="8"/>
      <c r="AB64" s="8">
        <v>49.186807850237962</v>
      </c>
      <c r="AC64" s="8">
        <v>55.659628471507745</v>
      </c>
    </row>
    <row r="65" spans="1:29" x14ac:dyDescent="0.25">
      <c r="A65" s="9" t="s">
        <v>45</v>
      </c>
      <c r="B65" s="10" t="s">
        <v>32</v>
      </c>
      <c r="C65" s="11">
        <f t="shared" si="1"/>
        <v>53.747656141114923</v>
      </c>
      <c r="D65" s="8">
        <v>33.146577437070235</v>
      </c>
      <c r="E65" s="8">
        <v>40.464896346530566</v>
      </c>
      <c r="F65" s="8">
        <v>27.916049628823561</v>
      </c>
      <c r="G65" s="8">
        <v>35.293051813973634</v>
      </c>
      <c r="H65" s="8">
        <v>38.574316740734133</v>
      </c>
      <c r="I65" s="8"/>
      <c r="J65" s="8">
        <v>29.652857340539054</v>
      </c>
      <c r="K65" s="8">
        <v>32.522693575605373</v>
      </c>
      <c r="L65" s="8">
        <v>26.908627388442188</v>
      </c>
      <c r="M65" s="8">
        <v>34.562933130279141</v>
      </c>
      <c r="N65" s="8">
        <v>36.78266352166829</v>
      </c>
      <c r="O65" s="8">
        <v>29.575474849652068</v>
      </c>
      <c r="P65" s="8">
        <v>33.181928091627718</v>
      </c>
      <c r="Q65" s="8">
        <v>28.525071266823137</v>
      </c>
      <c r="R65" s="8">
        <v>53.747656141114923</v>
      </c>
      <c r="S65" s="8">
        <v>47.700976042638963</v>
      </c>
      <c r="T65" s="8">
        <v>41.80834618677018</v>
      </c>
      <c r="U65" s="8">
        <v>26.528998820156929</v>
      </c>
      <c r="V65" s="8">
        <v>27.41823358763564</v>
      </c>
      <c r="W65" s="8">
        <v>33.822542720874736</v>
      </c>
      <c r="X65" s="8">
        <v>46.376853363645949</v>
      </c>
      <c r="Y65" s="8">
        <v>38.131409681380575</v>
      </c>
      <c r="Z65" s="8">
        <v>43.74996777362643</v>
      </c>
      <c r="AA65" s="8"/>
      <c r="AB65" s="8">
        <v>32.791205233491979</v>
      </c>
      <c r="AC65" s="8">
        <v>37.106418981005156</v>
      </c>
    </row>
    <row r="66" spans="1:29" x14ac:dyDescent="0.25">
      <c r="A66" s="9" t="s">
        <v>46</v>
      </c>
      <c r="B66" s="10" t="s">
        <v>32</v>
      </c>
      <c r="C66" s="11">
        <f t="shared" si="1"/>
        <v>26.873828070557462</v>
      </c>
      <c r="D66" s="8">
        <v>16.573288718535117</v>
      </c>
      <c r="E66" s="8">
        <v>20.232448173265283</v>
      </c>
      <c r="F66" s="8">
        <v>13.958024814411781</v>
      </c>
      <c r="G66" s="8">
        <v>17.646525906986817</v>
      </c>
      <c r="H66" s="8">
        <v>19.287158370367067</v>
      </c>
      <c r="I66" s="8"/>
      <c r="J66" s="8">
        <v>14.826428670269527</v>
      </c>
      <c r="K66" s="8">
        <v>16.261346787802687</v>
      </c>
      <c r="L66" s="8">
        <v>13.454313694221094</v>
      </c>
      <c r="M66" s="8">
        <v>17.281466565139571</v>
      </c>
      <c r="N66" s="8">
        <v>18.391331760834145</v>
      </c>
      <c r="O66" s="8">
        <v>14.787737424826034</v>
      </c>
      <c r="P66" s="8">
        <v>16.590964045813859</v>
      </c>
      <c r="Q66" s="8">
        <v>14.262535633411568</v>
      </c>
      <c r="R66" s="8">
        <v>26.873828070557462</v>
      </c>
      <c r="S66" s="8">
        <v>23.850488021319482</v>
      </c>
      <c r="T66" s="8">
        <v>20.90417309338509</v>
      </c>
      <c r="U66" s="8">
        <v>13.264499410078464</v>
      </c>
      <c r="V66" s="8">
        <v>13.70911679381782</v>
      </c>
      <c r="W66" s="8">
        <v>16.911271360437368</v>
      </c>
      <c r="X66" s="8">
        <v>23.188426681822975</v>
      </c>
      <c r="Y66" s="8">
        <v>19.065704840690287</v>
      </c>
      <c r="Z66" s="8">
        <v>21.874983886813215</v>
      </c>
      <c r="AA66" s="8"/>
      <c r="AB66" s="8">
        <v>16.39560261674599</v>
      </c>
      <c r="AC66" s="8">
        <v>18.553209490502578</v>
      </c>
    </row>
    <row r="67" spans="1:29" ht="45" x14ac:dyDescent="0.25">
      <c r="A67" s="9" t="s">
        <v>36</v>
      </c>
      <c r="B67" s="10" t="s">
        <v>32</v>
      </c>
      <c r="C67" s="11">
        <f t="shared" si="1"/>
        <v>107.49531228222985</v>
      </c>
      <c r="D67" s="8">
        <v>66.29315487414047</v>
      </c>
      <c r="E67" s="8">
        <v>80.929792693061131</v>
      </c>
      <c r="F67" s="8">
        <v>55.832099257647123</v>
      </c>
      <c r="G67" s="8">
        <v>70.586103627947267</v>
      </c>
      <c r="H67" s="8">
        <v>77.148633481468266</v>
      </c>
      <c r="I67" s="8"/>
      <c r="J67" s="8">
        <v>59.305714681078108</v>
      </c>
      <c r="K67" s="8">
        <v>65.045387151210747</v>
      </c>
      <c r="L67" s="8">
        <v>53.817254776884376</v>
      </c>
      <c r="M67" s="8">
        <v>69.125866260558283</v>
      </c>
      <c r="N67" s="8">
        <v>73.56532704333658</v>
      </c>
      <c r="O67" s="8">
        <v>59.150949699304135</v>
      </c>
      <c r="P67" s="8">
        <v>66.363856183255436</v>
      </c>
      <c r="Q67" s="8">
        <v>57.050142533646273</v>
      </c>
      <c r="R67" s="8">
        <v>107.49531228222985</v>
      </c>
      <c r="S67" s="8">
        <v>95.401952085277927</v>
      </c>
      <c r="T67" s="8">
        <v>83.61669237354036</v>
      </c>
      <c r="U67" s="8">
        <v>53.057997640313857</v>
      </c>
      <c r="V67" s="8">
        <v>54.836467175271281</v>
      </c>
      <c r="W67" s="8">
        <v>67.645085441749472</v>
      </c>
      <c r="X67" s="8">
        <v>92.753706727291899</v>
      </c>
      <c r="Y67" s="8">
        <v>76.262819362761149</v>
      </c>
      <c r="Z67" s="8">
        <v>87.499935547252861</v>
      </c>
      <c r="AA67" s="8"/>
      <c r="AB67" s="8">
        <v>65.582410466983958</v>
      </c>
      <c r="AC67" s="8">
        <v>74.212837962010312</v>
      </c>
    </row>
    <row r="68" spans="1:29" x14ac:dyDescent="0.25">
      <c r="A68" s="9" t="s">
        <v>37</v>
      </c>
      <c r="B68" s="10" t="s">
        <v>32</v>
      </c>
      <c r="C68" s="11">
        <f t="shared" si="1"/>
        <v>80.621484211672367</v>
      </c>
      <c r="D68" s="8">
        <v>49.719866155605352</v>
      </c>
      <c r="E68" s="8">
        <v>60.697344519795855</v>
      </c>
      <c r="F68" s="8">
        <v>41.874074443235344</v>
      </c>
      <c r="G68" s="8">
        <v>52.939577720960443</v>
      </c>
      <c r="H68" s="8">
        <v>57.8614751111012</v>
      </c>
      <c r="I68" s="8"/>
      <c r="J68" s="8">
        <v>44.479286010808579</v>
      </c>
      <c r="K68" s="8">
        <v>48.784040363408053</v>
      </c>
      <c r="L68" s="8">
        <v>40.362941082663291</v>
      </c>
      <c r="M68" s="8">
        <v>51.844399695418701</v>
      </c>
      <c r="N68" s="8">
        <v>55.173995282502432</v>
      </c>
      <c r="O68" s="8">
        <v>44.363212274478094</v>
      </c>
      <c r="P68" s="8">
        <v>49.772892137441573</v>
      </c>
      <c r="Q68" s="8">
        <v>42.787606900234707</v>
      </c>
      <c r="R68" s="8">
        <v>80.621484211672367</v>
      </c>
      <c r="S68" s="8">
        <v>71.551464063958448</v>
      </c>
      <c r="T68" s="8">
        <v>62.71251928015527</v>
      </c>
      <c r="U68" s="8">
        <v>39.793498230235393</v>
      </c>
      <c r="V68" s="8">
        <v>41.127350381453461</v>
      </c>
      <c r="W68" s="8">
        <v>50.733814081312111</v>
      </c>
      <c r="X68" s="8">
        <v>69.565280045468938</v>
      </c>
      <c r="Y68" s="8">
        <v>57.197114522070869</v>
      </c>
      <c r="Z68" s="8">
        <v>65.624951660439649</v>
      </c>
      <c r="AA68" s="8"/>
      <c r="AB68" s="8">
        <v>49.186807850237962</v>
      </c>
      <c r="AC68" s="8">
        <v>55.659628471507745</v>
      </c>
    </row>
    <row r="69" spans="1:29" ht="45" x14ac:dyDescent="0.25">
      <c r="A69" s="9" t="s">
        <v>38</v>
      </c>
      <c r="B69" s="10" t="s">
        <v>32</v>
      </c>
      <c r="C69" s="11">
        <f t="shared" si="1"/>
        <v>80.621484211672367</v>
      </c>
      <c r="D69" s="8">
        <v>49.719866155605352</v>
      </c>
      <c r="E69" s="8">
        <v>60.697344519795855</v>
      </c>
      <c r="F69" s="8">
        <v>41.874074443235344</v>
      </c>
      <c r="G69" s="8">
        <v>52.939577720960443</v>
      </c>
      <c r="H69" s="8">
        <v>57.8614751111012</v>
      </c>
      <c r="I69" s="8"/>
      <c r="J69" s="8">
        <v>44.479286010808579</v>
      </c>
      <c r="K69" s="8">
        <v>48.784040363408053</v>
      </c>
      <c r="L69" s="8">
        <v>40.362941082663291</v>
      </c>
      <c r="M69" s="8">
        <v>51.844399695418701</v>
      </c>
      <c r="N69" s="8">
        <v>55.173995282502432</v>
      </c>
      <c r="O69" s="8">
        <v>44.363212274478094</v>
      </c>
      <c r="P69" s="8">
        <v>49.772892137441573</v>
      </c>
      <c r="Q69" s="8">
        <v>42.787606900234707</v>
      </c>
      <c r="R69" s="8">
        <v>80.621484211672367</v>
      </c>
      <c r="S69" s="8">
        <v>71.551464063958448</v>
      </c>
      <c r="T69" s="8">
        <v>62.71251928015527</v>
      </c>
      <c r="U69" s="8">
        <v>39.793498230235393</v>
      </c>
      <c r="V69" s="8">
        <v>41.127350381453461</v>
      </c>
      <c r="W69" s="8">
        <v>50.733814081312111</v>
      </c>
      <c r="X69" s="8">
        <v>69.565280045468938</v>
      </c>
      <c r="Y69" s="8">
        <v>57.197114522070869</v>
      </c>
      <c r="Z69" s="8">
        <v>65.624951660439649</v>
      </c>
      <c r="AA69" s="8"/>
      <c r="AB69" s="8">
        <v>49.186807850237962</v>
      </c>
      <c r="AC69" s="8">
        <v>55.659628471507745</v>
      </c>
    </row>
    <row r="70" spans="1:29" ht="30" x14ac:dyDescent="0.25">
      <c r="A70" s="9" t="s">
        <v>85</v>
      </c>
      <c r="B70" s="10" t="s">
        <v>32</v>
      </c>
      <c r="C70" s="11">
        <f t="shared" ref="C70:C101" si="2">MAX(D70:AC70)</f>
        <v>644.97187369337894</v>
      </c>
      <c r="D70" s="8">
        <v>397.75892924484282</v>
      </c>
      <c r="E70" s="8">
        <v>485.57875615836684</v>
      </c>
      <c r="F70" s="8">
        <v>334.99259554588275</v>
      </c>
      <c r="G70" s="8">
        <v>423.51662176768355</v>
      </c>
      <c r="H70" s="8">
        <v>462.8918008888096</v>
      </c>
      <c r="I70" s="8"/>
      <c r="J70" s="8">
        <v>355.83428808646863</v>
      </c>
      <c r="K70" s="8">
        <v>390.27232290726442</v>
      </c>
      <c r="L70" s="8">
        <v>322.90352866130632</v>
      </c>
      <c r="M70" s="8">
        <v>414.75519756334961</v>
      </c>
      <c r="N70" s="8">
        <v>441.39196226001945</v>
      </c>
      <c r="O70" s="8">
        <v>354.90569819582475</v>
      </c>
      <c r="P70" s="8">
        <v>398.18313709953259</v>
      </c>
      <c r="Q70" s="8">
        <v>342.30085520187765</v>
      </c>
      <c r="R70" s="8">
        <v>644.97187369337894</v>
      </c>
      <c r="S70" s="8">
        <v>572.41171251166759</v>
      </c>
      <c r="T70" s="8">
        <v>501.70015424124216</v>
      </c>
      <c r="U70" s="8">
        <v>318.34798584188314</v>
      </c>
      <c r="V70" s="8">
        <v>329.01880305162769</v>
      </c>
      <c r="W70" s="8">
        <v>405.87051265049689</v>
      </c>
      <c r="X70" s="8">
        <v>556.52224036375151</v>
      </c>
      <c r="Y70" s="8">
        <v>457.57691617656695</v>
      </c>
      <c r="Z70" s="8">
        <v>524.99961328351719</v>
      </c>
      <c r="AA70" s="8"/>
      <c r="AB70" s="8">
        <v>393.49446280190369</v>
      </c>
      <c r="AC70" s="8">
        <v>445.27702777206196</v>
      </c>
    </row>
    <row r="71" spans="1:29" ht="30" x14ac:dyDescent="0.25">
      <c r="A71" s="9" t="s">
        <v>35</v>
      </c>
      <c r="B71" s="10" t="s">
        <v>32</v>
      </c>
      <c r="C71" s="11">
        <f t="shared" si="2"/>
        <v>107.49531228222985</v>
      </c>
      <c r="D71" s="8">
        <v>66.29315487414047</v>
      </c>
      <c r="E71" s="8">
        <v>80.929792693061131</v>
      </c>
      <c r="F71" s="8">
        <v>55.832099257647123</v>
      </c>
      <c r="G71" s="8">
        <v>70.586103627947267</v>
      </c>
      <c r="H71" s="8">
        <v>77.148633481468266</v>
      </c>
      <c r="I71" s="8"/>
      <c r="J71" s="8">
        <v>59.305714681078108</v>
      </c>
      <c r="K71" s="8">
        <v>65.045387151210747</v>
      </c>
      <c r="L71" s="8">
        <v>53.817254776884376</v>
      </c>
      <c r="M71" s="8">
        <v>69.125866260558283</v>
      </c>
      <c r="N71" s="8">
        <v>73.56532704333658</v>
      </c>
      <c r="O71" s="8">
        <v>59.150949699304135</v>
      </c>
      <c r="P71" s="8">
        <v>66.363856183255436</v>
      </c>
      <c r="Q71" s="8">
        <v>57.050142533646273</v>
      </c>
      <c r="R71" s="8">
        <v>107.49531228222985</v>
      </c>
      <c r="S71" s="8">
        <v>95.401952085277927</v>
      </c>
      <c r="T71" s="8">
        <v>83.61669237354036</v>
      </c>
      <c r="U71" s="8">
        <v>53.057997640313857</v>
      </c>
      <c r="V71" s="8">
        <v>54.836467175271281</v>
      </c>
      <c r="W71" s="8">
        <v>67.645085441749472</v>
      </c>
      <c r="X71" s="8">
        <v>92.753706727291899</v>
      </c>
      <c r="Y71" s="8">
        <v>76.262819362761149</v>
      </c>
      <c r="Z71" s="8">
        <v>87.499935547252861</v>
      </c>
      <c r="AA71" s="8"/>
      <c r="AB71" s="8">
        <v>65.582410466983958</v>
      </c>
      <c r="AC71" s="8">
        <v>74.212837962010312</v>
      </c>
    </row>
    <row r="72" spans="1:29" ht="30" x14ac:dyDescent="0.25">
      <c r="A72" s="9" t="s">
        <v>39</v>
      </c>
      <c r="B72" s="10" t="s">
        <v>32</v>
      </c>
      <c r="C72" s="11">
        <f t="shared" si="2"/>
        <v>214.99062456445969</v>
      </c>
      <c r="D72" s="8">
        <v>132.58630974828094</v>
      </c>
      <c r="E72" s="8">
        <v>161.85958538612226</v>
      </c>
      <c r="F72" s="8">
        <v>111.66419851529425</v>
      </c>
      <c r="G72" s="8">
        <v>141.17220725589453</v>
      </c>
      <c r="H72" s="8">
        <v>154.29726696293653</v>
      </c>
      <c r="I72" s="8"/>
      <c r="J72" s="8">
        <v>118.61142936215622</v>
      </c>
      <c r="K72" s="8">
        <v>130.09077430242149</v>
      </c>
      <c r="L72" s="8">
        <v>107.63450955376875</v>
      </c>
      <c r="M72" s="8">
        <v>138.25173252111657</v>
      </c>
      <c r="N72" s="8">
        <v>147.13065408667316</v>
      </c>
      <c r="O72" s="8">
        <v>118.30189939860827</v>
      </c>
      <c r="P72" s="8">
        <v>132.72771236651087</v>
      </c>
      <c r="Q72" s="8">
        <v>114.10028506729255</v>
      </c>
      <c r="R72" s="8">
        <v>214.99062456445969</v>
      </c>
      <c r="S72" s="8">
        <v>190.80390417055585</v>
      </c>
      <c r="T72" s="8">
        <v>167.23338474708072</v>
      </c>
      <c r="U72" s="8">
        <v>106.11599528062771</v>
      </c>
      <c r="V72" s="8">
        <v>109.67293435054256</v>
      </c>
      <c r="W72" s="8">
        <v>135.29017088349894</v>
      </c>
      <c r="X72" s="8">
        <v>185.5074134545838</v>
      </c>
      <c r="Y72" s="8">
        <v>152.5256387255223</v>
      </c>
      <c r="Z72" s="8">
        <v>174.99987109450572</v>
      </c>
      <c r="AA72" s="8"/>
      <c r="AB72" s="8">
        <v>131.16482093396792</v>
      </c>
      <c r="AC72" s="8">
        <v>148.42567592402062</v>
      </c>
    </row>
    <row r="73" spans="1:29" x14ac:dyDescent="0.25">
      <c r="A73" s="9" t="s">
        <v>86</v>
      </c>
      <c r="B73" s="10"/>
      <c r="C73" s="11">
        <f t="shared" si="2"/>
        <v>0</v>
      </c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</row>
    <row r="74" spans="1:29" x14ac:dyDescent="0.25">
      <c r="A74" s="9" t="s">
        <v>87</v>
      </c>
      <c r="B74" s="10" t="s">
        <v>88</v>
      </c>
      <c r="C74" s="11">
        <f t="shared" si="2"/>
        <v>32.248593684668954</v>
      </c>
      <c r="D74" s="8">
        <v>19.887946462242141</v>
      </c>
      <c r="E74" s="8">
        <v>24.278937807918336</v>
      </c>
      <c r="F74" s="8">
        <v>18.089600159477666</v>
      </c>
      <c r="G74" s="8">
        <v>21.175831088384179</v>
      </c>
      <c r="H74" s="8">
        <v>23.144590044440477</v>
      </c>
      <c r="I74" s="8"/>
      <c r="J74" s="8">
        <v>17.791714404323432</v>
      </c>
      <c r="K74" s="8">
        <v>19.513616145363223</v>
      </c>
      <c r="L74" s="8">
        <v>16.145176433065313</v>
      </c>
      <c r="M74" s="8">
        <v>20.737759878167484</v>
      </c>
      <c r="N74" s="8">
        <v>22.069598113000975</v>
      </c>
      <c r="O74" s="8">
        <v>17.745284909791238</v>
      </c>
      <c r="P74" s="8">
        <v>19.909156854976629</v>
      </c>
      <c r="Q74" s="8">
        <v>17.115042760093882</v>
      </c>
      <c r="R74" s="8">
        <v>32.248593684668954</v>
      </c>
      <c r="S74" s="8">
        <v>28.620585625583381</v>
      </c>
      <c r="T74" s="8">
        <v>25.085007712062108</v>
      </c>
      <c r="U74" s="8">
        <v>15.917399292094158</v>
      </c>
      <c r="V74" s="8">
        <v>16.450940152581385</v>
      </c>
      <c r="W74" s="8">
        <v>20.29352563252484</v>
      </c>
      <c r="X74" s="8">
        <v>27.826112018187569</v>
      </c>
      <c r="Y74" s="8">
        <v>19</v>
      </c>
      <c r="Z74" s="8">
        <v>26.249980664175858</v>
      </c>
      <c r="AA74" s="8"/>
      <c r="AB74" s="8">
        <v>19.674723140095189</v>
      </c>
      <c r="AC74" s="8">
        <v>22.263851388603094</v>
      </c>
    </row>
    <row r="75" spans="1:29" x14ac:dyDescent="0.25">
      <c r="A75" s="9" t="s">
        <v>89</v>
      </c>
      <c r="B75" s="10" t="s">
        <v>88</v>
      </c>
      <c r="C75" s="11">
        <f t="shared" si="2"/>
        <v>64.497187369337908</v>
      </c>
      <c r="D75" s="8">
        <v>39.775892924484282</v>
      </c>
      <c r="E75" s="8">
        <v>48.557875615836672</v>
      </c>
      <c r="F75" s="8">
        <v>36.179200318955331</v>
      </c>
      <c r="G75" s="8">
        <v>42.351662176768357</v>
      </c>
      <c r="H75" s="8">
        <v>46.289180088880954</v>
      </c>
      <c r="I75" s="8"/>
      <c r="J75" s="8">
        <v>35.583428808646865</v>
      </c>
      <c r="K75" s="8">
        <v>39.027232290726445</v>
      </c>
      <c r="L75" s="8">
        <v>32.290352866130625</v>
      </c>
      <c r="M75" s="8">
        <v>41.475519756334968</v>
      </c>
      <c r="N75" s="8">
        <v>44.13919622600195</v>
      </c>
      <c r="O75" s="8">
        <v>35.490569819582475</v>
      </c>
      <c r="P75" s="8">
        <v>39.818313709953259</v>
      </c>
      <c r="Q75" s="8">
        <v>34.230085520187764</v>
      </c>
      <c r="R75" s="8">
        <v>64.497187369337908</v>
      </c>
      <c r="S75" s="8">
        <v>57.241171251166762</v>
      </c>
      <c r="T75" s="8">
        <v>50.170015424124216</v>
      </c>
      <c r="U75" s="8">
        <v>31.834798584188317</v>
      </c>
      <c r="V75" s="8">
        <v>32.90188030516277</v>
      </c>
      <c r="W75" s="8">
        <v>40.587051265049681</v>
      </c>
      <c r="X75" s="8">
        <v>55.652224036375138</v>
      </c>
      <c r="Y75" s="8">
        <v>45.75769161765669</v>
      </c>
      <c r="Z75" s="8">
        <v>52.499961328351716</v>
      </c>
      <c r="AA75" s="8"/>
      <c r="AB75" s="8">
        <v>39.349446280190378</v>
      </c>
      <c r="AC75" s="8">
        <v>44.527702777206187</v>
      </c>
    </row>
    <row r="76" spans="1:29" x14ac:dyDescent="0.25">
      <c r="A76" s="9" t="s">
        <v>90</v>
      </c>
      <c r="B76" s="10" t="s">
        <v>88</v>
      </c>
      <c r="C76" s="11">
        <f t="shared" si="2"/>
        <v>53.747656141114909</v>
      </c>
      <c r="D76" s="8">
        <v>33.146577437070235</v>
      </c>
      <c r="E76" s="8">
        <v>40.464896346530573</v>
      </c>
      <c r="F76" s="8">
        <v>30.149333599129449</v>
      </c>
      <c r="G76" s="8">
        <v>35.293051813973626</v>
      </c>
      <c r="H76" s="8">
        <v>38.574316740734133</v>
      </c>
      <c r="I76" s="8"/>
      <c r="J76" s="8">
        <v>29.652857340539054</v>
      </c>
      <c r="K76" s="8">
        <v>32.522693575605366</v>
      </c>
      <c r="L76" s="8">
        <v>26.908627388442195</v>
      </c>
      <c r="M76" s="8">
        <v>34.562933130279134</v>
      </c>
      <c r="N76" s="8">
        <v>36.78266352166829</v>
      </c>
      <c r="O76" s="8">
        <v>29.575474849652064</v>
      </c>
      <c r="P76" s="8">
        <v>33.181928091627718</v>
      </c>
      <c r="Q76" s="8">
        <v>28.525071266823137</v>
      </c>
      <c r="R76" s="8">
        <v>53.747656141114909</v>
      </c>
      <c r="S76" s="8">
        <v>47.700976042638963</v>
      </c>
      <c r="T76" s="8">
        <v>41.80834618677018</v>
      </c>
      <c r="U76" s="8">
        <v>26.528998820156929</v>
      </c>
      <c r="V76" s="8">
        <v>27.41823358763564</v>
      </c>
      <c r="W76" s="8">
        <v>33.822542720874743</v>
      </c>
      <c r="X76" s="8">
        <v>46.376853363645957</v>
      </c>
      <c r="Y76" s="8">
        <v>19</v>
      </c>
      <c r="Z76" s="8">
        <v>43.74996777362643</v>
      </c>
      <c r="AA76" s="8"/>
      <c r="AB76" s="8">
        <v>32.791205233491972</v>
      </c>
      <c r="AC76" s="8">
        <v>37.106418981005163</v>
      </c>
    </row>
    <row r="77" spans="1:29" ht="60" x14ac:dyDescent="0.25">
      <c r="A77" s="9" t="s">
        <v>40</v>
      </c>
      <c r="B77" s="10" t="s">
        <v>32</v>
      </c>
      <c r="C77" s="11">
        <f t="shared" si="2"/>
        <v>26.873828070557462</v>
      </c>
      <c r="D77" s="8">
        <v>16.573288718535117</v>
      </c>
      <c r="E77" s="8">
        <v>20.232448173265283</v>
      </c>
      <c r="F77" s="8">
        <v>13.958024814411781</v>
      </c>
      <c r="G77" s="8">
        <v>17.646525906986817</v>
      </c>
      <c r="H77" s="8">
        <v>19.287158370367067</v>
      </c>
      <c r="I77" s="8"/>
      <c r="J77" s="8">
        <v>14.826428670269527</v>
      </c>
      <c r="K77" s="8">
        <v>16.261346787802687</v>
      </c>
      <c r="L77" s="8">
        <v>13.454313694221094</v>
      </c>
      <c r="M77" s="8">
        <v>17.281466565139571</v>
      </c>
      <c r="N77" s="8">
        <v>18.391331760834145</v>
      </c>
      <c r="O77" s="8">
        <v>14.787737424826034</v>
      </c>
      <c r="P77" s="8">
        <v>16.590964045813859</v>
      </c>
      <c r="Q77" s="8">
        <v>14.262535633411568</v>
      </c>
      <c r="R77" s="8">
        <v>26.873828070557462</v>
      </c>
      <c r="S77" s="8">
        <v>23.850488021319482</v>
      </c>
      <c r="T77" s="8">
        <v>20.90417309338509</v>
      </c>
      <c r="U77" s="8">
        <v>13.264499410078464</v>
      </c>
      <c r="V77" s="8">
        <v>13.70911679381782</v>
      </c>
      <c r="W77" s="8">
        <v>16.911271360437368</v>
      </c>
      <c r="X77" s="8">
        <v>23.188426681822975</v>
      </c>
      <c r="Y77" s="8">
        <v>19.065704840690287</v>
      </c>
      <c r="Z77" s="8">
        <v>21.874983886813215</v>
      </c>
      <c r="AA77" s="8"/>
      <c r="AB77" s="8">
        <v>16.39560261674599</v>
      </c>
      <c r="AC77" s="8">
        <v>18.553209490502578</v>
      </c>
    </row>
    <row r="78" spans="1:29" ht="75" x14ac:dyDescent="0.25">
      <c r="A78" s="9" t="s">
        <v>47</v>
      </c>
      <c r="B78" s="10" t="s">
        <v>32</v>
      </c>
      <c r="C78" s="11">
        <f t="shared" si="2"/>
        <v>214.99062456445969</v>
      </c>
      <c r="D78" s="8">
        <v>132.58630974828094</v>
      </c>
      <c r="E78" s="8">
        <v>161.85958538612226</v>
      </c>
      <c r="F78" s="8">
        <v>111.66419851529425</v>
      </c>
      <c r="G78" s="8">
        <v>141.17220725589453</v>
      </c>
      <c r="H78" s="8">
        <v>154.29726696293653</v>
      </c>
      <c r="I78" s="8"/>
      <c r="J78" s="8">
        <v>118.61142936215622</v>
      </c>
      <c r="K78" s="8">
        <v>130.09077430242149</v>
      </c>
      <c r="L78" s="8">
        <v>107.63450955376875</v>
      </c>
      <c r="M78" s="8">
        <v>138.25173252111657</v>
      </c>
      <c r="N78" s="8">
        <v>147.13065408667316</v>
      </c>
      <c r="O78" s="8">
        <v>118.30189939860827</v>
      </c>
      <c r="P78" s="8">
        <v>132.72771236651087</v>
      </c>
      <c r="Q78" s="8">
        <v>114.10028506729255</v>
      </c>
      <c r="R78" s="8">
        <v>214.99062456445969</v>
      </c>
      <c r="S78" s="8">
        <v>190.80390417055585</v>
      </c>
      <c r="T78" s="8">
        <v>167.23338474708072</v>
      </c>
      <c r="U78" s="8">
        <v>106.11599528062771</v>
      </c>
      <c r="V78" s="8">
        <v>109.67293435054256</v>
      </c>
      <c r="W78" s="8">
        <v>135.29017088349894</v>
      </c>
      <c r="X78" s="8">
        <v>185.5074134545838</v>
      </c>
      <c r="Y78" s="8">
        <v>152.5256387255223</v>
      </c>
      <c r="Z78" s="8">
        <v>174.99987109450572</v>
      </c>
      <c r="AA78" s="8"/>
      <c r="AB78" s="8">
        <v>131.16482093396792</v>
      </c>
      <c r="AC78" s="8">
        <v>148.42567592402062</v>
      </c>
    </row>
    <row r="79" spans="1:29" ht="60" x14ac:dyDescent="0.25">
      <c r="A79" s="9" t="s">
        <v>48</v>
      </c>
      <c r="B79" s="10" t="s">
        <v>32</v>
      </c>
      <c r="C79" s="11">
        <f t="shared" si="2"/>
        <v>26.873828070557462</v>
      </c>
      <c r="D79" s="8">
        <v>16.573288718535117</v>
      </c>
      <c r="E79" s="8">
        <v>20.232448173265283</v>
      </c>
      <c r="F79" s="8">
        <v>13.958024814411781</v>
      </c>
      <c r="G79" s="8">
        <v>17.646525906986817</v>
      </c>
      <c r="H79" s="8">
        <v>19.287158370367067</v>
      </c>
      <c r="I79" s="8"/>
      <c r="J79" s="8">
        <v>14.826428670269527</v>
      </c>
      <c r="K79" s="8">
        <v>16.261346787802687</v>
      </c>
      <c r="L79" s="8">
        <v>13.454313694221094</v>
      </c>
      <c r="M79" s="8">
        <v>17.281466565139571</v>
      </c>
      <c r="N79" s="8">
        <v>18.391331760834145</v>
      </c>
      <c r="O79" s="8">
        <v>14.787737424826034</v>
      </c>
      <c r="P79" s="8">
        <v>16.590964045813859</v>
      </c>
      <c r="Q79" s="8">
        <v>14.262535633411568</v>
      </c>
      <c r="R79" s="8">
        <v>26.873828070557462</v>
      </c>
      <c r="S79" s="8">
        <v>23.850488021319482</v>
      </c>
      <c r="T79" s="8">
        <v>20.90417309338509</v>
      </c>
      <c r="U79" s="8">
        <v>13.264499410078464</v>
      </c>
      <c r="V79" s="8">
        <v>13.70911679381782</v>
      </c>
      <c r="W79" s="8">
        <v>16.911271360437368</v>
      </c>
      <c r="X79" s="8">
        <v>23.188426681822975</v>
      </c>
      <c r="Y79" s="8">
        <v>19.065704840690287</v>
      </c>
      <c r="Z79" s="8">
        <v>21.874983886813215</v>
      </c>
      <c r="AA79" s="8"/>
      <c r="AB79" s="8">
        <v>16.39560261674599</v>
      </c>
      <c r="AC79" s="8">
        <v>18.553209490502578</v>
      </c>
    </row>
    <row r="80" spans="1:29" ht="30" x14ac:dyDescent="0.25">
      <c r="A80" s="9" t="s">
        <v>49</v>
      </c>
      <c r="B80" s="10" t="s">
        <v>32</v>
      </c>
      <c r="C80" s="11">
        <f t="shared" si="2"/>
        <v>23.850488021319482</v>
      </c>
      <c r="D80" s="8">
        <v>16.573288718535117</v>
      </c>
      <c r="E80" s="8">
        <v>20.232448173265283</v>
      </c>
      <c r="F80" s="8">
        <v>13.958024814411781</v>
      </c>
      <c r="G80" s="8">
        <v>17.646525906986817</v>
      </c>
      <c r="H80" s="8">
        <v>19.287158370367067</v>
      </c>
      <c r="I80" s="8"/>
      <c r="J80" s="8">
        <v>14.826428670269527</v>
      </c>
      <c r="K80" s="8">
        <v>16.261346787802687</v>
      </c>
      <c r="L80" s="8">
        <v>13.454313694221094</v>
      </c>
      <c r="M80" s="8">
        <v>15.066363899214394</v>
      </c>
      <c r="N80" s="8">
        <v>18.391331760834145</v>
      </c>
      <c r="O80" s="8">
        <v>14.787737424826034</v>
      </c>
      <c r="P80" s="8">
        <v>16.590964045813859</v>
      </c>
      <c r="Q80" s="8">
        <v>14.262535633411568</v>
      </c>
      <c r="R80" s="8">
        <v>14.177196902987355</v>
      </c>
      <c r="S80" s="8">
        <v>23.850488021319482</v>
      </c>
      <c r="T80" s="8">
        <v>20.90417309338509</v>
      </c>
      <c r="U80" s="8">
        <v>13.264499410078464</v>
      </c>
      <c r="V80" s="8">
        <v>13.70911679381782</v>
      </c>
      <c r="W80" s="8">
        <v>16.911271360437368</v>
      </c>
      <c r="X80" s="8">
        <v>23.188426681822975</v>
      </c>
      <c r="Y80" s="8">
        <v>19.065704840690287</v>
      </c>
      <c r="Z80" s="8">
        <v>21.874983886813215</v>
      </c>
      <c r="AA80" s="8"/>
      <c r="AB80" s="8">
        <v>16.39560261674599</v>
      </c>
      <c r="AC80" s="8">
        <v>18.553209490502578</v>
      </c>
    </row>
    <row r="81" spans="1:29" ht="30" x14ac:dyDescent="0.25">
      <c r="A81" s="9" t="s">
        <v>50</v>
      </c>
      <c r="B81" s="10" t="s">
        <v>32</v>
      </c>
      <c r="C81" s="11">
        <f t="shared" si="2"/>
        <v>26.873828070557462</v>
      </c>
      <c r="D81" s="8">
        <v>16.573288718535117</v>
      </c>
      <c r="E81" s="8">
        <v>20.232448173265283</v>
      </c>
      <c r="F81" s="8">
        <v>13.958024814411781</v>
      </c>
      <c r="G81" s="8">
        <v>17.646525906986817</v>
      </c>
      <c r="H81" s="8">
        <v>19.287158370367067</v>
      </c>
      <c r="I81" s="8"/>
      <c r="J81" s="8">
        <v>14.826428670269527</v>
      </c>
      <c r="K81" s="8">
        <v>16.261346787802687</v>
      </c>
      <c r="L81" s="8">
        <v>13.454313694221094</v>
      </c>
      <c r="M81" s="8">
        <v>17.281466565139571</v>
      </c>
      <c r="N81" s="8">
        <v>18.391331760834145</v>
      </c>
      <c r="O81" s="8">
        <v>14.787737424826034</v>
      </c>
      <c r="P81" s="8">
        <v>16.590964045813859</v>
      </c>
      <c r="Q81" s="8">
        <v>14.262535633411568</v>
      </c>
      <c r="R81" s="8">
        <v>26.873828070557462</v>
      </c>
      <c r="S81" s="8">
        <v>23.850488021319482</v>
      </c>
      <c r="T81" s="8">
        <v>20.90417309338509</v>
      </c>
      <c r="U81" s="8">
        <v>13.264499410078464</v>
      </c>
      <c r="V81" s="8">
        <v>13.70911679381782</v>
      </c>
      <c r="W81" s="8">
        <v>16.911271360437368</v>
      </c>
      <c r="X81" s="8">
        <v>23.188426681822975</v>
      </c>
      <c r="Y81" s="8">
        <v>19.065704840690287</v>
      </c>
      <c r="Z81" s="8">
        <v>21.874983886813215</v>
      </c>
      <c r="AA81" s="8"/>
      <c r="AB81" s="8">
        <v>16.39560261674599</v>
      </c>
      <c r="AC81" s="8">
        <v>18.553209490502578</v>
      </c>
    </row>
    <row r="82" spans="1:29" x14ac:dyDescent="0.25">
      <c r="A82" s="6" t="s">
        <v>91</v>
      </c>
      <c r="B82" s="10"/>
      <c r="C82" s="11">
        <f t="shared" si="2"/>
        <v>0</v>
      </c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</row>
    <row r="83" spans="1:29" ht="30" x14ac:dyDescent="0.25">
      <c r="A83" s="9" t="s">
        <v>52</v>
      </c>
      <c r="B83" s="10"/>
      <c r="C83" s="11">
        <f t="shared" si="2"/>
        <v>0</v>
      </c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</row>
    <row r="84" spans="1:29" x14ac:dyDescent="0.25">
      <c r="A84" s="9" t="s">
        <v>53</v>
      </c>
      <c r="B84" s="10" t="s">
        <v>32</v>
      </c>
      <c r="C84" s="11">
        <f t="shared" si="2"/>
        <v>53.747656141114923</v>
      </c>
      <c r="D84" s="8">
        <v>33.146577437070235</v>
      </c>
      <c r="E84" s="8">
        <v>40.464896346530566</v>
      </c>
      <c r="F84" s="8">
        <v>27.916049628823561</v>
      </c>
      <c r="G84" s="8">
        <v>35.293051813973634</v>
      </c>
      <c r="H84" s="8">
        <v>38.574316740734133</v>
      </c>
      <c r="I84" s="8"/>
      <c r="J84" s="8">
        <v>29.652857340539054</v>
      </c>
      <c r="K84" s="8">
        <v>32.522693575605373</v>
      </c>
      <c r="L84" s="8">
        <v>26.908627388442188</v>
      </c>
      <c r="M84" s="8">
        <v>34.562933130279141</v>
      </c>
      <c r="N84" s="8">
        <v>36.78266352166829</v>
      </c>
      <c r="O84" s="8">
        <v>29.575474849652068</v>
      </c>
      <c r="P84" s="8">
        <v>33.181928091627718</v>
      </c>
      <c r="Q84" s="8">
        <v>28.525071266823137</v>
      </c>
      <c r="R84" s="8">
        <v>53.747656141114923</v>
      </c>
      <c r="S84" s="8">
        <v>47.700976042638963</v>
      </c>
      <c r="T84" s="8">
        <v>41.80834618677018</v>
      </c>
      <c r="U84" s="8">
        <v>31.16622186976582</v>
      </c>
      <c r="V84" s="8">
        <v>27.41823358763564</v>
      </c>
      <c r="W84" s="8">
        <v>33.822542720874736</v>
      </c>
      <c r="X84" s="8">
        <v>46.376853363645949</v>
      </c>
      <c r="Y84" s="8">
        <v>38.131409681380575</v>
      </c>
      <c r="Z84" s="8">
        <v>43.74996777362643</v>
      </c>
      <c r="AA84" s="8"/>
      <c r="AB84" s="8">
        <v>32.791205233491979</v>
      </c>
      <c r="AC84" s="8">
        <v>37.106418981005156</v>
      </c>
    </row>
    <row r="85" spans="1:29" x14ac:dyDescent="0.25">
      <c r="A85" s="9" t="s">
        <v>54</v>
      </c>
      <c r="B85" s="10" t="s">
        <v>32</v>
      </c>
      <c r="C85" s="11">
        <f t="shared" si="2"/>
        <v>53.747656141114923</v>
      </c>
      <c r="D85" s="8">
        <v>33.146577437070235</v>
      </c>
      <c r="E85" s="8">
        <v>40.464896346530566</v>
      </c>
      <c r="F85" s="8">
        <v>27.916049628823561</v>
      </c>
      <c r="G85" s="8">
        <v>35.293051813973634</v>
      </c>
      <c r="H85" s="8">
        <v>38.574316740734133</v>
      </c>
      <c r="I85" s="8"/>
      <c r="J85" s="8">
        <v>29.652857340539054</v>
      </c>
      <c r="K85" s="8">
        <v>32.522693575605373</v>
      </c>
      <c r="L85" s="8">
        <v>26.908627388442188</v>
      </c>
      <c r="M85" s="8">
        <v>34.562933130279141</v>
      </c>
      <c r="N85" s="8">
        <v>36.78266352166829</v>
      </c>
      <c r="O85" s="8">
        <v>29.575474849652068</v>
      </c>
      <c r="P85" s="8">
        <v>33.181928091627718</v>
      </c>
      <c r="Q85" s="8">
        <v>28.525071266823137</v>
      </c>
      <c r="R85" s="8">
        <v>53.747656141114923</v>
      </c>
      <c r="S85" s="8">
        <v>47.700976042638963</v>
      </c>
      <c r="T85" s="8">
        <v>41.80834618677018</v>
      </c>
      <c r="U85" s="8">
        <v>31.16622186976582</v>
      </c>
      <c r="V85" s="8">
        <v>27.41823358763564</v>
      </c>
      <c r="W85" s="8">
        <v>33.822542720874736</v>
      </c>
      <c r="X85" s="8">
        <v>46.376853363645949</v>
      </c>
      <c r="Y85" s="8">
        <v>38.131409681380575</v>
      </c>
      <c r="Z85" s="8">
        <v>43.74996777362643</v>
      </c>
      <c r="AA85" s="8"/>
      <c r="AB85" s="8">
        <v>32.791205233491979</v>
      </c>
      <c r="AC85" s="8">
        <v>37.106418981005156</v>
      </c>
    </row>
    <row r="86" spans="1:29" x14ac:dyDescent="0.25">
      <c r="A86" s="9" t="s">
        <v>55</v>
      </c>
      <c r="B86" s="10" t="s">
        <v>32</v>
      </c>
      <c r="C86" s="11">
        <f t="shared" si="2"/>
        <v>26.873828070557462</v>
      </c>
      <c r="D86" s="8">
        <v>16.573288718535117</v>
      </c>
      <c r="E86" s="8">
        <v>20.232448173265283</v>
      </c>
      <c r="F86" s="8">
        <v>13.958024814411781</v>
      </c>
      <c r="G86" s="8">
        <v>17.646525906986817</v>
      </c>
      <c r="H86" s="8">
        <v>19.287158370367067</v>
      </c>
      <c r="I86" s="8"/>
      <c r="J86" s="8">
        <v>14.826428670269527</v>
      </c>
      <c r="K86" s="8">
        <v>16.261346787802687</v>
      </c>
      <c r="L86" s="8">
        <v>13.454313694221094</v>
      </c>
      <c r="M86" s="8">
        <v>17.281466565139571</v>
      </c>
      <c r="N86" s="8">
        <v>18.391331760834145</v>
      </c>
      <c r="O86" s="8">
        <v>14.787737424826034</v>
      </c>
      <c r="P86" s="8">
        <v>16.590964045813859</v>
      </c>
      <c r="Q86" s="8">
        <v>14.262535633411568</v>
      </c>
      <c r="R86" s="8">
        <v>26.873828070557462</v>
      </c>
      <c r="S86" s="8">
        <v>23.850488021319482</v>
      </c>
      <c r="T86" s="8">
        <v>20.90417309338509</v>
      </c>
      <c r="U86" s="8">
        <v>15.58311093488291</v>
      </c>
      <c r="V86" s="8">
        <v>13.70911679381782</v>
      </c>
      <c r="W86" s="8">
        <v>16.911271360437368</v>
      </c>
      <c r="X86" s="8">
        <v>23.188426681822975</v>
      </c>
      <c r="Y86" s="8">
        <v>19.065704840690287</v>
      </c>
      <c r="Z86" s="8">
        <v>21.874983886813215</v>
      </c>
      <c r="AA86" s="8"/>
      <c r="AB86" s="8">
        <v>16.39560261674599</v>
      </c>
      <c r="AC86" s="8">
        <v>18.553209490502578</v>
      </c>
    </row>
    <row r="87" spans="1:29" x14ac:dyDescent="0.25">
      <c r="A87" s="9" t="s">
        <v>56</v>
      </c>
      <c r="B87" s="10" t="s">
        <v>32</v>
      </c>
      <c r="C87" s="11">
        <f t="shared" si="2"/>
        <v>26.873828070557462</v>
      </c>
      <c r="D87" s="8">
        <v>16.573288718535117</v>
      </c>
      <c r="E87" s="8">
        <v>20.232448173265283</v>
      </c>
      <c r="F87" s="8">
        <v>13.958024814411781</v>
      </c>
      <c r="G87" s="8">
        <v>17.646525906986817</v>
      </c>
      <c r="H87" s="8">
        <v>19.287158370367067</v>
      </c>
      <c r="I87" s="8"/>
      <c r="J87" s="8">
        <v>14.826428670269527</v>
      </c>
      <c r="K87" s="8">
        <v>16.261346787802687</v>
      </c>
      <c r="L87" s="8">
        <v>13.454313694221094</v>
      </c>
      <c r="M87" s="8">
        <v>17.281466565139571</v>
      </c>
      <c r="N87" s="8">
        <v>18.391331760834145</v>
      </c>
      <c r="O87" s="8">
        <v>14.787737424826034</v>
      </c>
      <c r="P87" s="8">
        <v>16.590964045813859</v>
      </c>
      <c r="Q87" s="8">
        <v>14.262535633411568</v>
      </c>
      <c r="R87" s="8">
        <v>26.873828070557462</v>
      </c>
      <c r="S87" s="8">
        <v>23.850488021319482</v>
      </c>
      <c r="T87" s="8">
        <v>20.90417309338509</v>
      </c>
      <c r="U87" s="8">
        <v>15.58311093488291</v>
      </c>
      <c r="V87" s="8">
        <v>13.70911679381782</v>
      </c>
      <c r="W87" s="8">
        <v>16.911271360437368</v>
      </c>
      <c r="X87" s="8">
        <v>23.188426681822975</v>
      </c>
      <c r="Y87" s="8">
        <v>19.065704840690287</v>
      </c>
      <c r="Z87" s="8">
        <v>21.874983886813215</v>
      </c>
      <c r="AA87" s="8"/>
      <c r="AB87" s="8">
        <v>16.39560261674599</v>
      </c>
      <c r="AC87" s="8">
        <v>18.553209490502578</v>
      </c>
    </row>
    <row r="88" spans="1:29" x14ac:dyDescent="0.25">
      <c r="A88" s="9" t="s">
        <v>92</v>
      </c>
      <c r="B88" s="10" t="s">
        <v>32</v>
      </c>
      <c r="C88" s="11">
        <f t="shared" si="2"/>
        <v>161.24296842334473</v>
      </c>
      <c r="D88" s="8">
        <v>99.439732311210705</v>
      </c>
      <c r="E88" s="8">
        <v>121.39468903959171</v>
      </c>
      <c r="F88" s="8">
        <v>83.748148886470688</v>
      </c>
      <c r="G88" s="8">
        <v>105.87915544192089</v>
      </c>
      <c r="H88" s="8">
        <v>115.7229502222024</v>
      </c>
      <c r="I88" s="8"/>
      <c r="J88" s="8">
        <v>88.958572021617158</v>
      </c>
      <c r="K88" s="8">
        <v>97.568080726816106</v>
      </c>
      <c r="L88" s="8">
        <v>80.725882165326581</v>
      </c>
      <c r="M88" s="8">
        <v>103.6887993908374</v>
      </c>
      <c r="N88" s="8">
        <v>110.34799056500486</v>
      </c>
      <c r="O88" s="8">
        <v>88.726424548956189</v>
      </c>
      <c r="P88" s="8">
        <v>99.545784274883147</v>
      </c>
      <c r="Q88" s="8">
        <v>85.575213800469413</v>
      </c>
      <c r="R88" s="8">
        <v>161.24296842334473</v>
      </c>
      <c r="S88" s="8">
        <v>143.1029281279169</v>
      </c>
      <c r="T88" s="8">
        <v>125.42503856031054</v>
      </c>
      <c r="U88" s="8">
        <v>93.498665609297475</v>
      </c>
      <c r="V88" s="8">
        <v>82.254700762906921</v>
      </c>
      <c r="W88" s="8">
        <v>101.46762816262422</v>
      </c>
      <c r="X88" s="8">
        <v>139.13056009093788</v>
      </c>
      <c r="Y88" s="8">
        <v>114.39422904414174</v>
      </c>
      <c r="Z88" s="8">
        <v>131.2499033208793</v>
      </c>
      <c r="AA88" s="8"/>
      <c r="AB88" s="8">
        <v>98.373615700475924</v>
      </c>
      <c r="AC88" s="8">
        <v>111.31925694301549</v>
      </c>
    </row>
    <row r="89" spans="1:29" x14ac:dyDescent="0.25">
      <c r="A89" s="9" t="s">
        <v>93</v>
      </c>
      <c r="B89" s="10" t="s">
        <v>32</v>
      </c>
      <c r="C89" s="11">
        <f t="shared" si="2"/>
        <v>241.8644526350171</v>
      </c>
      <c r="D89" s="8">
        <v>149.15959846681605</v>
      </c>
      <c r="E89" s="8">
        <v>182.09203355938754</v>
      </c>
      <c r="F89" s="8">
        <v>125.622223329706</v>
      </c>
      <c r="G89" s="8">
        <v>158.81873316288136</v>
      </c>
      <c r="H89" s="8">
        <v>173.58442533330361</v>
      </c>
      <c r="I89" s="8"/>
      <c r="J89" s="8">
        <v>133.43785803242577</v>
      </c>
      <c r="K89" s="8">
        <v>146.35212109022416</v>
      </c>
      <c r="L89" s="8">
        <v>121.08882324798986</v>
      </c>
      <c r="M89" s="8">
        <v>155.53319908625613</v>
      </c>
      <c r="N89" s="8">
        <v>165.5219858475073</v>
      </c>
      <c r="O89" s="8">
        <v>133.08963682343429</v>
      </c>
      <c r="P89" s="8">
        <v>149.31867641232475</v>
      </c>
      <c r="Q89" s="8">
        <v>128.36282070070413</v>
      </c>
      <c r="R89" s="8">
        <v>241.8644526350171</v>
      </c>
      <c r="S89" s="8">
        <v>214.65439219187539</v>
      </c>
      <c r="T89" s="8">
        <v>188.1375578404658</v>
      </c>
      <c r="U89" s="8">
        <v>140.24799841394619</v>
      </c>
      <c r="V89" s="8">
        <v>123.38205114436037</v>
      </c>
      <c r="W89" s="8">
        <v>152.20144224393633</v>
      </c>
      <c r="X89" s="8">
        <v>208.69584013640679</v>
      </c>
      <c r="Y89" s="8">
        <v>171.59134356621263</v>
      </c>
      <c r="Z89" s="8">
        <v>196.87485498131895</v>
      </c>
      <c r="AA89" s="8"/>
      <c r="AB89" s="8">
        <v>147.56042355071389</v>
      </c>
      <c r="AC89" s="8">
        <v>166.97888541452323</v>
      </c>
    </row>
    <row r="90" spans="1:29" x14ac:dyDescent="0.25">
      <c r="A90" s="9" t="s">
        <v>94</v>
      </c>
      <c r="B90" s="10" t="s">
        <v>32</v>
      </c>
      <c r="C90" s="11">
        <f t="shared" si="2"/>
        <v>161.24296842334473</v>
      </c>
      <c r="D90" s="8">
        <v>99.439732311210705</v>
      </c>
      <c r="E90" s="8">
        <v>121.39468903959171</v>
      </c>
      <c r="F90" s="8">
        <v>83.748148886470688</v>
      </c>
      <c r="G90" s="8">
        <v>105.87915544192089</v>
      </c>
      <c r="H90" s="8">
        <v>115.7229502222024</v>
      </c>
      <c r="I90" s="8"/>
      <c r="J90" s="8">
        <v>88.958572021617158</v>
      </c>
      <c r="K90" s="8">
        <v>97.568080726816106</v>
      </c>
      <c r="L90" s="8">
        <v>80.725882165326581</v>
      </c>
      <c r="M90" s="8">
        <v>103.6887993908374</v>
      </c>
      <c r="N90" s="8">
        <v>110.34799056500486</v>
      </c>
      <c r="O90" s="8">
        <v>88.726424548956189</v>
      </c>
      <c r="P90" s="8">
        <v>99.545784274883147</v>
      </c>
      <c r="Q90" s="8">
        <v>85.575213800469413</v>
      </c>
      <c r="R90" s="8">
        <v>161.24296842334473</v>
      </c>
      <c r="S90" s="8">
        <v>143.1029281279169</v>
      </c>
      <c r="T90" s="8">
        <v>125.42503856031054</v>
      </c>
      <c r="U90" s="8">
        <v>93.498665609297475</v>
      </c>
      <c r="V90" s="8">
        <v>82.254700762906921</v>
      </c>
      <c r="W90" s="8">
        <v>101.46762816262422</v>
      </c>
      <c r="X90" s="8">
        <v>139.13056009093788</v>
      </c>
      <c r="Y90" s="8">
        <v>114.39422904414174</v>
      </c>
      <c r="Z90" s="8">
        <v>131.2499033208793</v>
      </c>
      <c r="AA90" s="8"/>
      <c r="AB90" s="8">
        <v>98.373615700475924</v>
      </c>
      <c r="AC90" s="8">
        <v>111.31925694301549</v>
      </c>
    </row>
    <row r="91" spans="1:29" x14ac:dyDescent="0.25">
      <c r="A91" s="9" t="s">
        <v>95</v>
      </c>
      <c r="B91" s="10" t="s">
        <v>32</v>
      </c>
      <c r="C91" s="11">
        <f t="shared" si="2"/>
        <v>241.8644526350171</v>
      </c>
      <c r="D91" s="8">
        <v>149.15959846681605</v>
      </c>
      <c r="E91" s="8">
        <v>182.09203355938754</v>
      </c>
      <c r="F91" s="8">
        <v>125.622223329706</v>
      </c>
      <c r="G91" s="8">
        <v>158.81873316288136</v>
      </c>
      <c r="H91" s="8">
        <v>173.58442533330361</v>
      </c>
      <c r="I91" s="8"/>
      <c r="J91" s="8">
        <v>133.43785803242577</v>
      </c>
      <c r="K91" s="8">
        <v>146.35212109022416</v>
      </c>
      <c r="L91" s="8">
        <v>121.08882324798986</v>
      </c>
      <c r="M91" s="8">
        <v>155.53319908625613</v>
      </c>
      <c r="N91" s="8">
        <v>165.5219858475073</v>
      </c>
      <c r="O91" s="8">
        <v>133.08963682343429</v>
      </c>
      <c r="P91" s="8">
        <v>149.31867641232475</v>
      </c>
      <c r="Q91" s="8">
        <v>128.36282070070413</v>
      </c>
      <c r="R91" s="8">
        <v>241.8644526350171</v>
      </c>
      <c r="S91" s="8">
        <v>214.65439219187539</v>
      </c>
      <c r="T91" s="8">
        <v>188.1375578404658</v>
      </c>
      <c r="U91" s="8">
        <v>140.24799841394619</v>
      </c>
      <c r="V91" s="8">
        <v>123.38205114436037</v>
      </c>
      <c r="W91" s="8">
        <v>152.20144224393633</v>
      </c>
      <c r="X91" s="8">
        <v>208.69584013640679</v>
      </c>
      <c r="Y91" s="8">
        <v>171.59134356621263</v>
      </c>
      <c r="Z91" s="8">
        <v>196.87485498131895</v>
      </c>
      <c r="AA91" s="8"/>
      <c r="AB91" s="8">
        <v>147.56042355071389</v>
      </c>
      <c r="AC91" s="8">
        <v>166.97888541452323</v>
      </c>
    </row>
    <row r="92" spans="1:29" x14ac:dyDescent="0.25">
      <c r="A92" s="9" t="s">
        <v>96</v>
      </c>
      <c r="B92" s="10" t="s">
        <v>32</v>
      </c>
      <c r="C92" s="11">
        <f t="shared" si="2"/>
        <v>161.24296842334473</v>
      </c>
      <c r="D92" s="8">
        <v>99.439732311210705</v>
      </c>
      <c r="E92" s="8">
        <v>121.39468903959171</v>
      </c>
      <c r="F92" s="8">
        <v>83.748148886470688</v>
      </c>
      <c r="G92" s="8">
        <v>105.87915544192089</v>
      </c>
      <c r="H92" s="8">
        <v>115.7229502222024</v>
      </c>
      <c r="I92" s="8"/>
      <c r="J92" s="8">
        <v>88.958572021617158</v>
      </c>
      <c r="K92" s="8">
        <v>97.568080726816106</v>
      </c>
      <c r="L92" s="8">
        <v>80.725882165326581</v>
      </c>
      <c r="M92" s="8">
        <v>103.6887993908374</v>
      </c>
      <c r="N92" s="8">
        <v>110.34799056500486</v>
      </c>
      <c r="O92" s="8">
        <v>88.726424548956189</v>
      </c>
      <c r="P92" s="8">
        <v>99.545784274883147</v>
      </c>
      <c r="Q92" s="8">
        <v>85.575213800469413</v>
      </c>
      <c r="R92" s="8">
        <v>161.24296842334473</v>
      </c>
      <c r="S92" s="8">
        <v>143.1029281279169</v>
      </c>
      <c r="T92" s="8">
        <v>125.42503856031054</v>
      </c>
      <c r="U92" s="8">
        <v>93.498665609297475</v>
      </c>
      <c r="V92" s="8">
        <v>82.254700762906921</v>
      </c>
      <c r="W92" s="8">
        <v>101.46762816262422</v>
      </c>
      <c r="X92" s="8">
        <v>139.13056009093788</v>
      </c>
      <c r="Y92" s="8">
        <v>114.39422904414174</v>
      </c>
      <c r="Z92" s="8">
        <v>131.2499033208793</v>
      </c>
      <c r="AA92" s="8"/>
      <c r="AB92" s="8">
        <v>98.373615700475924</v>
      </c>
      <c r="AC92" s="8">
        <v>111.31925694301549</v>
      </c>
    </row>
    <row r="93" spans="1:29" x14ac:dyDescent="0.25">
      <c r="A93" s="9" t="s">
        <v>97</v>
      </c>
      <c r="B93" s="10" t="s">
        <v>32</v>
      </c>
      <c r="C93" s="11">
        <f t="shared" si="2"/>
        <v>241.8644526350171</v>
      </c>
      <c r="D93" s="8">
        <v>149.15959846681605</v>
      </c>
      <c r="E93" s="8">
        <v>182.09203355938754</v>
      </c>
      <c r="F93" s="8">
        <v>125.622223329706</v>
      </c>
      <c r="G93" s="8">
        <v>158.81873316288136</v>
      </c>
      <c r="H93" s="8">
        <v>173.58442533330361</v>
      </c>
      <c r="I93" s="8"/>
      <c r="J93" s="8">
        <v>133.43785803242577</v>
      </c>
      <c r="K93" s="8">
        <v>146.35212109022416</v>
      </c>
      <c r="L93" s="8">
        <v>121.08882324798986</v>
      </c>
      <c r="M93" s="8">
        <v>155.53319908625613</v>
      </c>
      <c r="N93" s="8">
        <v>165.5219858475073</v>
      </c>
      <c r="O93" s="8">
        <v>133.08963682343429</v>
      </c>
      <c r="P93" s="8">
        <v>149.31867641232475</v>
      </c>
      <c r="Q93" s="8">
        <v>128.36282070070413</v>
      </c>
      <c r="R93" s="8">
        <v>241.8644526350171</v>
      </c>
      <c r="S93" s="8">
        <v>214.65439219187539</v>
      </c>
      <c r="T93" s="8">
        <v>188.1375578404658</v>
      </c>
      <c r="U93" s="8">
        <v>140.24799841394619</v>
      </c>
      <c r="V93" s="8">
        <v>123.38205114436037</v>
      </c>
      <c r="W93" s="8">
        <v>152.20144224393633</v>
      </c>
      <c r="X93" s="8">
        <v>208.69584013640679</v>
      </c>
      <c r="Y93" s="8">
        <v>171.59134356621263</v>
      </c>
      <c r="Z93" s="8">
        <v>196.87485498131895</v>
      </c>
      <c r="AA93" s="8"/>
      <c r="AB93" s="8">
        <v>147.56042355071389</v>
      </c>
      <c r="AC93" s="8">
        <v>166.97888541452323</v>
      </c>
    </row>
    <row r="94" spans="1:29" ht="30" x14ac:dyDescent="0.25">
      <c r="A94" s="9" t="s">
        <v>57</v>
      </c>
      <c r="B94" s="10"/>
      <c r="C94" s="11">
        <f t="shared" si="2"/>
        <v>0</v>
      </c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</row>
    <row r="95" spans="1:29" x14ac:dyDescent="0.25">
      <c r="A95" s="9" t="s">
        <v>58</v>
      </c>
      <c r="B95" s="10" t="s">
        <v>32</v>
      </c>
      <c r="C95" s="11">
        <f t="shared" si="2"/>
        <v>343.8509417691003</v>
      </c>
      <c r="D95" s="8">
        <v>198.87946462242141</v>
      </c>
      <c r="E95" s="8">
        <v>242.78937807918342</v>
      </c>
      <c r="F95" s="8">
        <v>167.49629777294138</v>
      </c>
      <c r="G95" s="8">
        <v>343.8509417691003</v>
      </c>
      <c r="H95" s="8">
        <v>231.4459004444048</v>
      </c>
      <c r="I95" s="8"/>
      <c r="J95" s="8">
        <v>177.91714404323432</v>
      </c>
      <c r="K95" s="8">
        <v>195.13616145363221</v>
      </c>
      <c r="L95" s="8">
        <v>161.45176433065316</v>
      </c>
      <c r="M95" s="8">
        <v>207.37759878167481</v>
      </c>
      <c r="N95" s="8">
        <v>220.69598113000973</v>
      </c>
      <c r="O95" s="8">
        <v>265.65236150138037</v>
      </c>
      <c r="P95" s="8">
        <v>199.09156854976629</v>
      </c>
      <c r="Q95" s="8">
        <v>171.15042760093883</v>
      </c>
      <c r="R95" s="8">
        <v>322.48593684668947</v>
      </c>
      <c r="S95" s="8">
        <v>286.20585625583379</v>
      </c>
      <c r="T95" s="8">
        <v>250.85007712062108</v>
      </c>
      <c r="U95" s="8">
        <v>186.99733121859495</v>
      </c>
      <c r="V95" s="8">
        <v>164.50940152581384</v>
      </c>
      <c r="W95" s="8">
        <v>202.93525632524845</v>
      </c>
      <c r="X95" s="8">
        <v>278.26112018187575</v>
      </c>
      <c r="Y95" s="8">
        <v>228.78845808828348</v>
      </c>
      <c r="Z95" s="8">
        <v>262.4998066417586</v>
      </c>
      <c r="AA95" s="8"/>
      <c r="AB95" s="8">
        <v>196.74723140095185</v>
      </c>
      <c r="AC95" s="8">
        <v>222.63851388603098</v>
      </c>
    </row>
    <row r="96" spans="1:29" x14ac:dyDescent="0.25">
      <c r="A96" s="9" t="s">
        <v>59</v>
      </c>
      <c r="B96" s="10" t="s">
        <v>32</v>
      </c>
      <c r="C96" s="11">
        <f t="shared" si="2"/>
        <v>444.0751789596909</v>
      </c>
      <c r="D96" s="8">
        <v>269.33396060277607</v>
      </c>
      <c r="E96" s="8">
        <v>303.48672259897933</v>
      </c>
      <c r="F96" s="8">
        <v>371.65991387940204</v>
      </c>
      <c r="G96" s="8">
        <v>314.98700743905852</v>
      </c>
      <c r="H96" s="8">
        <v>302.56357169977684</v>
      </c>
      <c r="I96" s="8"/>
      <c r="J96" s="8">
        <v>222.3964300540429</v>
      </c>
      <c r="K96" s="8">
        <v>243.92020181704029</v>
      </c>
      <c r="L96" s="8">
        <v>240.57303496327577</v>
      </c>
      <c r="M96" s="8">
        <v>349.92498681922717</v>
      </c>
      <c r="N96" s="8">
        <v>266.15845868448434</v>
      </c>
      <c r="O96" s="8">
        <v>256.95905809406338</v>
      </c>
      <c r="P96" s="8">
        <v>248.8644606872079</v>
      </c>
      <c r="Q96" s="8">
        <v>209.09192423004913</v>
      </c>
      <c r="R96" s="8">
        <v>435.76907290111092</v>
      </c>
      <c r="S96" s="8">
        <v>352.5371347409673</v>
      </c>
      <c r="T96" s="8">
        <v>360.67689581609091</v>
      </c>
      <c r="U96" s="8">
        <v>233.74666402324368</v>
      </c>
      <c r="V96" s="8">
        <v>184.27366212228009</v>
      </c>
      <c r="W96" s="8">
        <v>268.15466720756712</v>
      </c>
      <c r="X96" s="8">
        <v>444.0751789596909</v>
      </c>
      <c r="Y96" s="8">
        <v>275.53363792216453</v>
      </c>
      <c r="Z96" s="8">
        <v>322.54724531438376</v>
      </c>
      <c r="AA96" s="8"/>
      <c r="AB96" s="8">
        <v>236.74770986491424</v>
      </c>
      <c r="AC96" s="8">
        <v>278.29814235753872</v>
      </c>
    </row>
    <row r="97" spans="1:29" ht="30" x14ac:dyDescent="0.25">
      <c r="A97" s="9" t="s">
        <v>60</v>
      </c>
      <c r="B97" s="10" t="s">
        <v>32</v>
      </c>
      <c r="C97" s="11">
        <f t="shared" si="2"/>
        <v>403.10742105836187</v>
      </c>
      <c r="D97" s="8">
        <v>248.59933077802674</v>
      </c>
      <c r="E97" s="8">
        <v>303.48672259897933</v>
      </c>
      <c r="F97" s="8">
        <v>209.37037221617663</v>
      </c>
      <c r="G97" s="8">
        <v>264.69788860480224</v>
      </c>
      <c r="H97" s="8">
        <v>289.30737555550598</v>
      </c>
      <c r="I97" s="8"/>
      <c r="J97" s="8">
        <v>222.3964300540429</v>
      </c>
      <c r="K97" s="8">
        <v>243.92020181704029</v>
      </c>
      <c r="L97" s="8">
        <v>201.8147054133164</v>
      </c>
      <c r="M97" s="8">
        <v>259.22199847709356</v>
      </c>
      <c r="N97" s="8">
        <v>275.86997641251219</v>
      </c>
      <c r="O97" s="8">
        <v>221.81606137239049</v>
      </c>
      <c r="P97" s="8">
        <v>248.8644606872079</v>
      </c>
      <c r="Q97" s="8">
        <v>213.93803450117355</v>
      </c>
      <c r="R97" s="8">
        <v>403.10742105836187</v>
      </c>
      <c r="S97" s="8">
        <v>357.75732031979226</v>
      </c>
      <c r="T97" s="8">
        <v>313.56259640077633</v>
      </c>
      <c r="U97" s="8">
        <v>233.74666402324368</v>
      </c>
      <c r="V97" s="8">
        <v>205.6367519072673</v>
      </c>
      <c r="W97" s="8">
        <v>253.66907040656054</v>
      </c>
      <c r="X97" s="8">
        <v>347.82640022734472</v>
      </c>
      <c r="Y97" s="8">
        <v>285.98557261035432</v>
      </c>
      <c r="Z97" s="8">
        <v>328.12475830219825</v>
      </c>
      <c r="AA97" s="8"/>
      <c r="AB97" s="8">
        <v>245.9340392511898</v>
      </c>
      <c r="AC97" s="8">
        <v>278.29814235753872</v>
      </c>
    </row>
    <row r="98" spans="1:29" ht="45" x14ac:dyDescent="0.25">
      <c r="A98" s="9" t="s">
        <v>61</v>
      </c>
      <c r="B98" s="10" t="s">
        <v>32</v>
      </c>
      <c r="C98" s="11">
        <f t="shared" si="2"/>
        <v>214.99062456445969</v>
      </c>
      <c r="D98" s="8">
        <v>132.58630974828094</v>
      </c>
      <c r="E98" s="8">
        <v>161.85958538612226</v>
      </c>
      <c r="F98" s="8">
        <v>111.66419851529425</v>
      </c>
      <c r="G98" s="8">
        <v>141.17220725589453</v>
      </c>
      <c r="H98" s="8">
        <v>154.29726696293653</v>
      </c>
      <c r="I98" s="8"/>
      <c r="J98" s="8">
        <v>118.61142936215622</v>
      </c>
      <c r="K98" s="8">
        <v>130.09077430242149</v>
      </c>
      <c r="L98" s="8">
        <v>107.63450955376875</v>
      </c>
      <c r="M98" s="8">
        <v>138.25173252111657</v>
      </c>
      <c r="N98" s="8">
        <v>147.13065408667316</v>
      </c>
      <c r="O98" s="8">
        <v>118.30189939860827</v>
      </c>
      <c r="P98" s="8">
        <v>132.72771236651087</v>
      </c>
      <c r="Q98" s="8">
        <v>114.10028506729255</v>
      </c>
      <c r="R98" s="8">
        <v>214.99062456445969</v>
      </c>
      <c r="S98" s="8">
        <v>190.80390417055585</v>
      </c>
      <c r="T98" s="8">
        <v>167.23338474708072</v>
      </c>
      <c r="U98" s="8">
        <v>124.66488747906328</v>
      </c>
      <c r="V98" s="8">
        <v>109.67293435054256</v>
      </c>
      <c r="W98" s="8">
        <v>135.29017088349894</v>
      </c>
      <c r="X98" s="8">
        <v>185.5074134545838</v>
      </c>
      <c r="Y98" s="8">
        <v>152.5256387255223</v>
      </c>
      <c r="Z98" s="8">
        <v>174.99987109450572</v>
      </c>
      <c r="AA98" s="8"/>
      <c r="AB98" s="8">
        <v>131.16482093396792</v>
      </c>
      <c r="AC98" s="8">
        <v>148.42567592402062</v>
      </c>
    </row>
    <row r="99" spans="1:29" x14ac:dyDescent="0.25">
      <c r="A99" s="9" t="s">
        <v>62</v>
      </c>
      <c r="B99" s="10"/>
      <c r="C99" s="11">
        <f t="shared" si="2"/>
        <v>0</v>
      </c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</row>
    <row r="100" spans="1:29" ht="30" x14ac:dyDescent="0.25">
      <c r="A100" s="9" t="s">
        <v>63</v>
      </c>
      <c r="B100" s="10" t="s">
        <v>32</v>
      </c>
      <c r="C100" s="11">
        <f t="shared" si="2"/>
        <v>26.873828070557462</v>
      </c>
      <c r="D100" s="8">
        <v>16.573288718535117</v>
      </c>
      <c r="E100" s="8">
        <v>20.232448173265283</v>
      </c>
      <c r="F100" s="8">
        <v>13.958024814411781</v>
      </c>
      <c r="G100" s="8">
        <v>17.646525906986817</v>
      </c>
      <c r="H100" s="8">
        <v>19.287158370367067</v>
      </c>
      <c r="I100" s="8"/>
      <c r="J100" s="8">
        <v>14.826428670269527</v>
      </c>
      <c r="K100" s="8">
        <v>16.261346787802687</v>
      </c>
      <c r="L100" s="8">
        <v>13.454313694221094</v>
      </c>
      <c r="M100" s="8">
        <v>17.281466565139571</v>
      </c>
      <c r="N100" s="8">
        <v>18.391331760834145</v>
      </c>
      <c r="O100" s="8">
        <v>14.787737424826034</v>
      </c>
      <c r="P100" s="8">
        <v>16.590964045813859</v>
      </c>
      <c r="Q100" s="8">
        <v>14.262535633411568</v>
      </c>
      <c r="R100" s="8">
        <v>26.873828070557462</v>
      </c>
      <c r="S100" s="8">
        <v>23.850488021319482</v>
      </c>
      <c r="T100" s="8">
        <v>20.90417309338509</v>
      </c>
      <c r="U100" s="8">
        <v>15.58311093488291</v>
      </c>
      <c r="V100" s="8">
        <v>13.70911679381782</v>
      </c>
      <c r="W100" s="8">
        <v>16.911271360437368</v>
      </c>
      <c r="X100" s="8">
        <v>23.188426681822975</v>
      </c>
      <c r="Y100" s="8"/>
      <c r="Z100" s="8">
        <v>21.874983886813215</v>
      </c>
      <c r="AA100" s="8"/>
      <c r="AB100" s="8">
        <v>16.39560261674599</v>
      </c>
      <c r="AC100" s="8">
        <v>18.553209490502578</v>
      </c>
    </row>
    <row r="101" spans="1:29" ht="45" x14ac:dyDescent="0.25">
      <c r="A101" s="9" t="s">
        <v>64</v>
      </c>
      <c r="B101" s="10" t="s">
        <v>32</v>
      </c>
      <c r="C101" s="11">
        <f t="shared" si="2"/>
        <v>257.88820632682518</v>
      </c>
      <c r="D101" s="8">
        <v>149.15959846681605</v>
      </c>
      <c r="E101" s="8">
        <v>182.09203355938754</v>
      </c>
      <c r="F101" s="8">
        <v>125.622223329706</v>
      </c>
      <c r="G101" s="8">
        <v>257.88820632682518</v>
      </c>
      <c r="H101" s="8">
        <v>173.58442533330361</v>
      </c>
      <c r="I101" s="8"/>
      <c r="J101" s="8">
        <v>133.43785803242577</v>
      </c>
      <c r="K101" s="8">
        <v>146.35212109022416</v>
      </c>
      <c r="L101" s="8">
        <v>121.08882324798986</v>
      </c>
      <c r="M101" s="8">
        <v>155.53319908625613</v>
      </c>
      <c r="N101" s="8">
        <v>165.5219858475073</v>
      </c>
      <c r="O101" s="8">
        <v>187.27945609135074</v>
      </c>
      <c r="P101" s="8">
        <v>149.31867641232475</v>
      </c>
      <c r="Q101" s="8">
        <v>128.36282070070413</v>
      </c>
      <c r="R101" s="8">
        <v>241.8644526350171</v>
      </c>
      <c r="S101" s="8">
        <v>214.65439219187539</v>
      </c>
      <c r="T101" s="8">
        <v>188.1375578404658</v>
      </c>
      <c r="U101" s="8">
        <v>140.24799841394619</v>
      </c>
      <c r="V101" s="8">
        <v>123.38205114436037</v>
      </c>
      <c r="W101" s="8">
        <v>152.20144224393633</v>
      </c>
      <c r="X101" s="8">
        <v>208.69584013640679</v>
      </c>
      <c r="Y101" s="8"/>
      <c r="Z101" s="8">
        <v>196.87485498131895</v>
      </c>
      <c r="AA101" s="8"/>
      <c r="AB101" s="8">
        <v>147.56042355071389</v>
      </c>
      <c r="AC101" s="8">
        <v>166.97888541452323</v>
      </c>
    </row>
    <row r="102" spans="1:29" ht="30" x14ac:dyDescent="0.25">
      <c r="A102" s="9" t="s">
        <v>65</v>
      </c>
      <c r="B102" s="10"/>
      <c r="C102" s="11">
        <f t="shared" ref="C102:C113" si="3">MAX(D102:AC102)</f>
        <v>0</v>
      </c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</row>
    <row r="103" spans="1:29" x14ac:dyDescent="0.25">
      <c r="A103" s="9" t="s">
        <v>66</v>
      </c>
      <c r="B103" s="10" t="s">
        <v>32</v>
      </c>
      <c r="C103" s="11">
        <f t="shared" si="3"/>
        <v>444.0751789596909</v>
      </c>
      <c r="D103" s="8">
        <v>269.33396060277607</v>
      </c>
      <c r="E103" s="8">
        <v>303.48672259897933</v>
      </c>
      <c r="F103" s="8">
        <v>371.65991387940204</v>
      </c>
      <c r="G103" s="8">
        <v>314.98700743905852</v>
      </c>
      <c r="H103" s="8">
        <v>302.56357169977684</v>
      </c>
      <c r="I103" s="8"/>
      <c r="J103" s="8">
        <v>428.05436469380362</v>
      </c>
      <c r="K103" s="8">
        <v>243.92020181704029</v>
      </c>
      <c r="L103" s="8">
        <v>240.57303496327577</v>
      </c>
      <c r="M103" s="8">
        <v>349.92498681922717</v>
      </c>
      <c r="N103" s="8">
        <v>266.15845868448434</v>
      </c>
      <c r="O103" s="8">
        <v>256.95905809406338</v>
      </c>
      <c r="P103" s="8">
        <v>248.8644606872079</v>
      </c>
      <c r="Q103" s="8">
        <v>209.09192423004913</v>
      </c>
      <c r="R103" s="8">
        <v>435.76907290111092</v>
      </c>
      <c r="S103" s="8">
        <v>352.5371347409673</v>
      </c>
      <c r="T103" s="8">
        <v>360.67689581609091</v>
      </c>
      <c r="U103" s="8">
        <v>233.74666402324368</v>
      </c>
      <c r="V103" s="8">
        <v>184.27366212228009</v>
      </c>
      <c r="W103" s="8">
        <v>268.15466720756712</v>
      </c>
      <c r="X103" s="8">
        <v>444.0751789596909</v>
      </c>
      <c r="Y103" s="8">
        <v>275.53363792216453</v>
      </c>
      <c r="Z103" s="8">
        <v>290.1950744852673</v>
      </c>
      <c r="AA103" s="8"/>
      <c r="AB103" s="8">
        <v>236.74770986491424</v>
      </c>
      <c r="AC103" s="8">
        <v>278.29814235753872</v>
      </c>
    </row>
    <row r="104" spans="1:29" x14ac:dyDescent="0.25">
      <c r="A104" s="9" t="s">
        <v>67</v>
      </c>
      <c r="B104" s="10" t="s">
        <v>32</v>
      </c>
      <c r="C104" s="11">
        <f t="shared" si="3"/>
        <v>403.10742105836187</v>
      </c>
      <c r="D104" s="8">
        <v>248.59933077802674</v>
      </c>
      <c r="E104" s="8">
        <v>303.48672259897933</v>
      </c>
      <c r="F104" s="8">
        <v>209.37037221617663</v>
      </c>
      <c r="G104" s="8">
        <v>264.69788860480224</v>
      </c>
      <c r="H104" s="8">
        <v>289.30737555550598</v>
      </c>
      <c r="I104" s="8"/>
      <c r="J104" s="8">
        <v>222.3964300540429</v>
      </c>
      <c r="K104" s="8">
        <v>243.92020181704029</v>
      </c>
      <c r="L104" s="8">
        <v>201.8147054133164</v>
      </c>
      <c r="M104" s="8">
        <v>259.22199847709356</v>
      </c>
      <c r="N104" s="8">
        <v>275.86997641251219</v>
      </c>
      <c r="O104" s="8">
        <v>221.81606137239049</v>
      </c>
      <c r="P104" s="8">
        <v>248.8644606872079</v>
      </c>
      <c r="Q104" s="8">
        <v>213.93803450117355</v>
      </c>
      <c r="R104" s="8">
        <v>403.10742105836187</v>
      </c>
      <c r="S104" s="8">
        <v>357.75732031979226</v>
      </c>
      <c r="T104" s="8">
        <v>313.56259640077633</v>
      </c>
      <c r="U104" s="8">
        <v>233.74666402324368</v>
      </c>
      <c r="V104" s="8">
        <v>205.6367519072673</v>
      </c>
      <c r="W104" s="8">
        <v>253.66907040656054</v>
      </c>
      <c r="X104" s="8">
        <v>347.82640022734472</v>
      </c>
      <c r="Y104" s="8">
        <v>285.98557261035432</v>
      </c>
      <c r="Z104" s="8">
        <v>328.12475830219825</v>
      </c>
      <c r="AA104" s="8"/>
      <c r="AB104" s="8">
        <v>245.9340392511898</v>
      </c>
      <c r="AC104" s="8">
        <v>278.29814235753872</v>
      </c>
    </row>
    <row r="105" spans="1:29" x14ac:dyDescent="0.25">
      <c r="A105" s="9" t="s">
        <v>68</v>
      </c>
      <c r="B105" s="10" t="s">
        <v>32</v>
      </c>
      <c r="C105" s="11">
        <f t="shared" si="3"/>
        <v>161.24296842334473</v>
      </c>
      <c r="D105" s="8">
        <v>99.439732311210705</v>
      </c>
      <c r="E105" s="8">
        <v>121.39468903959171</v>
      </c>
      <c r="F105" s="8">
        <v>83.748148886470688</v>
      </c>
      <c r="G105" s="8">
        <v>105.87915544192089</v>
      </c>
      <c r="H105" s="8">
        <v>115.7229502222024</v>
      </c>
      <c r="I105" s="8"/>
      <c r="J105" s="8">
        <v>88.958572021617158</v>
      </c>
      <c r="K105" s="8">
        <v>97.568080726816106</v>
      </c>
      <c r="L105" s="8">
        <v>80.725882165326581</v>
      </c>
      <c r="M105" s="8">
        <v>103.6887993908374</v>
      </c>
      <c r="N105" s="8">
        <v>110.34799056500486</v>
      </c>
      <c r="O105" s="8">
        <v>88.726424548956189</v>
      </c>
      <c r="P105" s="8">
        <v>99.545784274883147</v>
      </c>
      <c r="Q105" s="8">
        <v>85.575213800469413</v>
      </c>
      <c r="R105" s="8">
        <v>161.24296842334473</v>
      </c>
      <c r="S105" s="8">
        <v>143.1029281279169</v>
      </c>
      <c r="T105" s="8">
        <v>125.42503856031054</v>
      </c>
      <c r="U105" s="8">
        <v>93.498665609297475</v>
      </c>
      <c r="V105" s="8">
        <v>82.254700762906921</v>
      </c>
      <c r="W105" s="8">
        <v>101.46762816262422</v>
      </c>
      <c r="X105" s="8">
        <v>139.13056009093788</v>
      </c>
      <c r="Y105" s="8">
        <v>114.39422904414174</v>
      </c>
      <c r="Z105" s="8">
        <v>131.2499033208793</v>
      </c>
      <c r="AA105" s="8"/>
      <c r="AB105" s="8">
        <v>98.373615700475924</v>
      </c>
      <c r="AC105" s="8">
        <v>111.31925694301549</v>
      </c>
    </row>
    <row r="106" spans="1:29" ht="30" x14ac:dyDescent="0.25">
      <c r="A106" s="9" t="s">
        <v>69</v>
      </c>
      <c r="B106" s="10"/>
      <c r="C106" s="11">
        <f t="shared" si="3"/>
        <v>0</v>
      </c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</row>
    <row r="107" spans="1:29" x14ac:dyDescent="0.25">
      <c r="A107" s="9" t="s">
        <v>70</v>
      </c>
      <c r="B107" s="10" t="s">
        <v>32</v>
      </c>
      <c r="C107" s="11">
        <f t="shared" si="3"/>
        <v>229.23396117940015</v>
      </c>
      <c r="D107" s="8">
        <v>132.58630974828094</v>
      </c>
      <c r="E107" s="8">
        <v>161.85958538612226</v>
      </c>
      <c r="F107" s="8">
        <v>111.66419851529425</v>
      </c>
      <c r="G107" s="8">
        <v>229.23396117940015</v>
      </c>
      <c r="H107" s="8">
        <v>154.29726696293653</v>
      </c>
      <c r="I107" s="8"/>
      <c r="J107" s="8">
        <v>118.61142936215622</v>
      </c>
      <c r="K107" s="8">
        <v>130.09077430242149</v>
      </c>
      <c r="L107" s="8">
        <v>107.63450955376875</v>
      </c>
      <c r="M107" s="8">
        <v>138.25173252111657</v>
      </c>
      <c r="N107" s="8">
        <v>147.13065408667316</v>
      </c>
      <c r="O107" s="8">
        <v>177.10157433425354</v>
      </c>
      <c r="P107" s="8">
        <v>132.72771236651087</v>
      </c>
      <c r="Q107" s="8">
        <v>114.10028506729255</v>
      </c>
      <c r="R107" s="8">
        <v>214.99062456445969</v>
      </c>
      <c r="S107" s="8">
        <v>190.80390417055585</v>
      </c>
      <c r="T107" s="8">
        <v>167.23338474708072</v>
      </c>
      <c r="U107" s="8">
        <v>124.66488747906328</v>
      </c>
      <c r="V107" s="8">
        <v>109.67293435054256</v>
      </c>
      <c r="W107" s="8">
        <v>135.29017088349894</v>
      </c>
      <c r="X107" s="8">
        <v>185.5074134545838</v>
      </c>
      <c r="Y107" s="8">
        <v>152.5256387255223</v>
      </c>
      <c r="Z107" s="8">
        <v>174.99987109450572</v>
      </c>
      <c r="AA107" s="8"/>
      <c r="AB107" s="8">
        <v>131.16482093396792</v>
      </c>
      <c r="AC107" s="8">
        <v>180.12036528592247</v>
      </c>
    </row>
    <row r="108" spans="1:29" ht="30" x14ac:dyDescent="0.25">
      <c r="A108" s="9" t="s">
        <v>71</v>
      </c>
      <c r="B108" s="10" t="s">
        <v>32</v>
      </c>
      <c r="C108" s="11">
        <f t="shared" si="3"/>
        <v>229.23396117940015</v>
      </c>
      <c r="D108" s="8">
        <v>132.58630974828094</v>
      </c>
      <c r="E108" s="8">
        <v>161.85958538612226</v>
      </c>
      <c r="F108" s="8">
        <v>111.66419851529425</v>
      </c>
      <c r="G108" s="8">
        <v>229.23396117940015</v>
      </c>
      <c r="H108" s="8">
        <v>154.29726696293653</v>
      </c>
      <c r="I108" s="8"/>
      <c r="J108" s="8">
        <v>118.61142936215622</v>
      </c>
      <c r="K108" s="8">
        <v>130.09077430242149</v>
      </c>
      <c r="L108" s="8">
        <v>107.63450955376875</v>
      </c>
      <c r="M108" s="8">
        <v>138.25173252111657</v>
      </c>
      <c r="N108" s="8">
        <v>147.13065408667316</v>
      </c>
      <c r="O108" s="8">
        <v>118.30189939860827</v>
      </c>
      <c r="P108" s="8">
        <v>132.72771236651087</v>
      </c>
      <c r="Q108" s="8">
        <v>114.10028506729255</v>
      </c>
      <c r="R108" s="8">
        <v>214.99062456445969</v>
      </c>
      <c r="S108" s="8">
        <v>190.80390417055585</v>
      </c>
      <c r="T108" s="8">
        <v>167.23338474708072</v>
      </c>
      <c r="U108" s="8">
        <v>124.66488747906328</v>
      </c>
      <c r="V108" s="8">
        <v>109.67293435054256</v>
      </c>
      <c r="W108" s="8">
        <v>135.29017088349894</v>
      </c>
      <c r="X108" s="8">
        <v>185.5074134545838</v>
      </c>
      <c r="Y108" s="8">
        <v>152.5256387255223</v>
      </c>
      <c r="Z108" s="8">
        <v>174.99987109450572</v>
      </c>
      <c r="AA108" s="8"/>
      <c r="AB108" s="8">
        <v>131.16482093396792</v>
      </c>
      <c r="AC108" s="8">
        <v>180.12036528592247</v>
      </c>
    </row>
    <row r="109" spans="1:29" ht="30" x14ac:dyDescent="0.25">
      <c r="A109" s="9" t="s">
        <v>72</v>
      </c>
      <c r="B109" s="10" t="s">
        <v>32</v>
      </c>
      <c r="C109" s="11">
        <f t="shared" si="3"/>
        <v>161.24296842334473</v>
      </c>
      <c r="D109" s="8">
        <v>99.439732311210705</v>
      </c>
      <c r="E109" s="8">
        <v>121.39468903959171</v>
      </c>
      <c r="F109" s="8">
        <v>83.748148886470688</v>
      </c>
      <c r="G109" s="8">
        <v>130.24883929470772</v>
      </c>
      <c r="H109" s="8">
        <v>115.7229502222024</v>
      </c>
      <c r="I109" s="8"/>
      <c r="J109" s="8">
        <v>88.958572021617158</v>
      </c>
      <c r="K109" s="8">
        <v>97.568080726816106</v>
      </c>
      <c r="L109" s="8">
        <v>80.725882165326581</v>
      </c>
      <c r="M109" s="8">
        <v>103.6887993908374</v>
      </c>
      <c r="N109" s="8">
        <v>110.34799056500486</v>
      </c>
      <c r="O109" s="8">
        <v>88.726424548956189</v>
      </c>
      <c r="P109" s="8">
        <v>99.545784274883147</v>
      </c>
      <c r="Q109" s="8">
        <v>85.575213800469413</v>
      </c>
      <c r="R109" s="8">
        <v>161.24296842334473</v>
      </c>
      <c r="S109" s="8">
        <v>143.1029281279169</v>
      </c>
      <c r="T109" s="8">
        <v>154.5720364121523</v>
      </c>
      <c r="U109" s="8">
        <v>93.498665609297475</v>
      </c>
      <c r="V109" s="8">
        <v>82.254700762906921</v>
      </c>
      <c r="W109" s="8">
        <v>101.46762816262422</v>
      </c>
      <c r="X109" s="8">
        <v>139.13056009093788</v>
      </c>
      <c r="Y109" s="8">
        <v>114.39422904414174</v>
      </c>
      <c r="Z109" s="8">
        <v>131.2499033208793</v>
      </c>
      <c r="AA109" s="8"/>
      <c r="AB109" s="8">
        <v>98.373615700475924</v>
      </c>
      <c r="AC109" s="8">
        <v>135.09027396444185</v>
      </c>
    </row>
    <row r="110" spans="1:29" x14ac:dyDescent="0.25">
      <c r="A110" s="6" t="s">
        <v>73</v>
      </c>
      <c r="B110" s="10"/>
      <c r="C110" s="11">
        <f t="shared" si="3"/>
        <v>0</v>
      </c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</row>
    <row r="111" spans="1:29" x14ac:dyDescent="0.25">
      <c r="A111" s="9" t="s">
        <v>74</v>
      </c>
      <c r="B111" s="10" t="s">
        <v>32</v>
      </c>
      <c r="C111" s="11">
        <f t="shared" si="3"/>
        <v>299.00324130416158</v>
      </c>
      <c r="D111" s="8">
        <v>240.64530576342364</v>
      </c>
      <c r="E111" s="8">
        <v>195.36765511775198</v>
      </c>
      <c r="F111" s="8">
        <v>111.66419851529425</v>
      </c>
      <c r="G111" s="8">
        <v>176.90900627302412</v>
      </c>
      <c r="H111" s="8">
        <v>154.29726696293653</v>
      </c>
      <c r="I111" s="8"/>
      <c r="J111" s="8">
        <v>156.35442928704987</v>
      </c>
      <c r="K111" s="8">
        <v>223.77599662297428</v>
      </c>
      <c r="L111" s="8">
        <v>175.19723074753799</v>
      </c>
      <c r="M111" s="8">
        <v>194.48190913492911</v>
      </c>
      <c r="N111" s="8">
        <v>189.28042175804606</v>
      </c>
      <c r="O111" s="8">
        <v>166.47062763675621</v>
      </c>
      <c r="P111" s="8">
        <v>184.75038168318105</v>
      </c>
      <c r="Q111" s="8">
        <v>151.17434804168096</v>
      </c>
      <c r="R111" s="8">
        <v>240.68678481216213</v>
      </c>
      <c r="S111" s="8">
        <v>190.80390417055585</v>
      </c>
      <c r="T111" s="8">
        <v>198.24177363502082</v>
      </c>
      <c r="U111" s="8">
        <v>155.9458628104544</v>
      </c>
      <c r="V111" s="8">
        <v>173.16190318847947</v>
      </c>
      <c r="W111" s="8">
        <v>173.63555261522856</v>
      </c>
      <c r="X111" s="8">
        <v>299.00324130416158</v>
      </c>
      <c r="Y111" s="8"/>
      <c r="Z111" s="8">
        <v>196.60570876501316</v>
      </c>
      <c r="AA111" s="8"/>
      <c r="AB111" s="8">
        <v>160.39705084539497</v>
      </c>
      <c r="AC111" s="8">
        <v>251.50746421835856</v>
      </c>
    </row>
    <row r="112" spans="1:29" x14ac:dyDescent="0.25">
      <c r="A112" s="6" t="s">
        <v>75</v>
      </c>
      <c r="B112" s="10"/>
      <c r="C112" s="11">
        <f t="shared" si="3"/>
        <v>0</v>
      </c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</row>
    <row r="113" spans="1:29" ht="30" x14ac:dyDescent="0.25">
      <c r="A113" s="9" t="s">
        <v>76</v>
      </c>
      <c r="B113" s="10" t="s">
        <v>32</v>
      </c>
      <c r="C113" s="11">
        <f t="shared" si="3"/>
        <v>448.52046310212131</v>
      </c>
      <c r="D113" s="8">
        <v>198.87946462242141</v>
      </c>
      <c r="E113" s="8">
        <v>403.47546278202452</v>
      </c>
      <c r="F113" s="8">
        <v>446.60467403267194</v>
      </c>
      <c r="G113" s="8">
        <v>260.49767858941544</v>
      </c>
      <c r="H113" s="8">
        <v>231.4459004444048</v>
      </c>
      <c r="I113" s="8"/>
      <c r="J113" s="8">
        <v>255.85344011771738</v>
      </c>
      <c r="K113" s="8">
        <v>195.13616145363221</v>
      </c>
      <c r="L113" s="8">
        <v>161.45176433065316</v>
      </c>
      <c r="M113" s="8">
        <v>254.79267260512361</v>
      </c>
      <c r="N113" s="8">
        <v>347.84162975211461</v>
      </c>
      <c r="O113" s="8">
        <v>252.40448748331823</v>
      </c>
      <c r="P113" s="8">
        <v>277.1255725247716</v>
      </c>
      <c r="Q113" s="8">
        <v>204.01686184356157</v>
      </c>
      <c r="R113" s="8">
        <v>322.48593684668947</v>
      </c>
      <c r="S113" s="8">
        <v>286.20585625583379</v>
      </c>
      <c r="T113" s="8">
        <v>250.85007712062108</v>
      </c>
      <c r="U113" s="8">
        <v>186.99733121859495</v>
      </c>
      <c r="V113" s="8">
        <v>164.50940152581384</v>
      </c>
      <c r="W113" s="8">
        <v>332.99158252839908</v>
      </c>
      <c r="X113" s="8">
        <v>448.52046310212131</v>
      </c>
      <c r="Y113" s="8"/>
      <c r="Z113" s="8">
        <v>267.29080000676822</v>
      </c>
      <c r="AA113" s="8"/>
      <c r="AB113" s="8">
        <v>240.59557626809249</v>
      </c>
      <c r="AC113" s="8">
        <v>270.1805479288837</v>
      </c>
    </row>
  </sheetData>
  <mergeCells count="29">
    <mergeCell ref="AC1:AC2"/>
    <mergeCell ref="O1:O2"/>
    <mergeCell ref="AB1:AB2"/>
    <mergeCell ref="V1:V2"/>
    <mergeCell ref="U1:U2"/>
    <mergeCell ref="P1:P2"/>
    <mergeCell ref="Q1:Q2"/>
    <mergeCell ref="Z1:Z2"/>
    <mergeCell ref="AA1:AA2"/>
    <mergeCell ref="X1:X2"/>
    <mergeCell ref="Y1:Y2"/>
    <mergeCell ref="W1:W2"/>
    <mergeCell ref="M1:M2"/>
    <mergeCell ref="N1:N2"/>
    <mergeCell ref="S1:S2"/>
    <mergeCell ref="R1:R2"/>
    <mergeCell ref="T1:T2"/>
    <mergeCell ref="L1:L2"/>
    <mergeCell ref="E1:E2"/>
    <mergeCell ref="G1:G2"/>
    <mergeCell ref="F1:F2"/>
    <mergeCell ref="H1:H2"/>
    <mergeCell ref="I1:I2"/>
    <mergeCell ref="K1:K2"/>
    <mergeCell ref="A1:A2"/>
    <mergeCell ref="B1:B2"/>
    <mergeCell ref="C1:C2"/>
    <mergeCell ref="D1:D2"/>
    <mergeCell ref="J1:J2"/>
  </mergeCells>
  <phoneticPr fontId="15" type="noConversion"/>
  <conditionalFormatting sqref="B3:E113 G3:AC113 D1:AC2 B1:C1 C2">
    <cfRule type="containsText" dxfId="231" priority="3" stopIfTrue="1" operator="containsText" text="#ЗНАЧ!">
      <formula>NOT(ISERROR(SEARCH("#ЗНАЧ!",B1)))</formula>
    </cfRule>
    <cfRule type="containsText" dxfId="230" priority="4" stopIfTrue="1" operator="containsText" text="#ЗНАЧ!">
      <formula>NOT(ISERROR(SEARCH("#ЗНАЧ!",B1)))</formula>
    </cfRule>
  </conditionalFormatting>
  <conditionalFormatting sqref="D51:E51 D3:E4 D5:D50 D52:D113 D1:D2">
    <cfRule type="containsText" dxfId="229" priority="1" stopIfTrue="1" operator="containsText" text="#ЗНАЧ!">
      <formula>NOT(ISERROR(SEARCH("#ЗНАЧ!",D1)))</formula>
    </cfRule>
    <cfRule type="containsText" dxfId="228" priority="2" stopIfTrue="1" operator="containsText" text="#ЗНАЧ!">
      <formula>NOT(ISERROR(SEARCH("#ЗНАЧ!",D1)))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V72"/>
  <sheetViews>
    <sheetView tabSelected="1" zoomScaleNormal="100" workbookViewId="0">
      <selection activeCell="Y7" sqref="Y7"/>
    </sheetView>
  </sheetViews>
  <sheetFormatPr defaultRowHeight="15" outlineLevelCol="1" x14ac:dyDescent="0.2"/>
  <cols>
    <col min="1" max="1" width="49.85546875" style="47" customWidth="1"/>
    <col min="2" max="2" width="9.85546875" style="47" customWidth="1"/>
    <col min="3" max="5" width="9.140625" style="47" hidden="1" customWidth="1" outlineLevel="1"/>
    <col min="6" max="6" width="9.140625" style="47" customWidth="1" collapsed="1"/>
    <col min="7" max="7" width="9.140625" style="47" hidden="1" customWidth="1" outlineLevel="1"/>
    <col min="8" max="9" width="9.85546875" style="47" hidden="1" customWidth="1" outlineLevel="1"/>
    <col min="10" max="10" width="9.85546875" style="47" customWidth="1" collapsed="1"/>
    <col min="11" max="13" width="9.5703125" style="47" hidden="1" customWidth="1" outlineLevel="1"/>
    <col min="14" max="14" width="9.5703125" style="47" customWidth="1" collapsed="1"/>
    <col min="15" max="15" width="9.140625" style="47" hidden="1" customWidth="1" outlineLevel="1"/>
    <col min="16" max="17" width="9.7109375" style="47" hidden="1" customWidth="1" outlineLevel="1"/>
    <col min="18" max="18" width="9.7109375" style="47" customWidth="1" collapsed="1"/>
    <col min="19" max="21" width="9.85546875" style="47" hidden="1" customWidth="1" outlineLevel="1"/>
    <col min="22" max="22" width="9.85546875" style="47" customWidth="1" collapsed="1"/>
    <col min="23" max="16384" width="9.140625" style="47"/>
  </cols>
  <sheetData>
    <row r="1" spans="1:22" x14ac:dyDescent="0.2">
      <c r="U1" s="51" t="s">
        <v>761</v>
      </c>
      <c r="V1" s="51" t="s">
        <v>773</v>
      </c>
    </row>
    <row r="2" spans="1:22" x14ac:dyDescent="0.2">
      <c r="U2" s="51" t="s">
        <v>755</v>
      </c>
      <c r="V2" s="51" t="s">
        <v>755</v>
      </c>
    </row>
    <row r="3" spans="1:22" x14ac:dyDescent="0.2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159" t="s">
        <v>457</v>
      </c>
      <c r="V3" s="159" t="s">
        <v>774</v>
      </c>
    </row>
    <row r="4" spans="1:22" x14ac:dyDescent="0.2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159"/>
      <c r="V4" s="159"/>
    </row>
    <row r="5" spans="1:22" x14ac:dyDescent="0.2">
      <c r="A5" s="71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159"/>
      <c r="V5" s="159"/>
    </row>
    <row r="6" spans="1:22" ht="91.5" customHeight="1" x14ac:dyDescent="0.2">
      <c r="A6" s="244" t="s">
        <v>772</v>
      </c>
      <c r="B6" s="244"/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4"/>
      <c r="T6" s="244"/>
      <c r="U6" s="244"/>
    </row>
    <row r="7" spans="1:22" ht="45" customHeight="1" x14ac:dyDescent="0.2">
      <c r="A7" s="234"/>
      <c r="B7" s="234"/>
      <c r="C7" s="234"/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34"/>
      <c r="S7" s="234"/>
      <c r="T7" s="234"/>
      <c r="U7" s="234"/>
      <c r="V7" s="234"/>
    </row>
    <row r="8" spans="1:22" ht="45" customHeight="1" x14ac:dyDescent="0.2">
      <c r="A8" s="245" t="s">
        <v>762</v>
      </c>
      <c r="B8" s="245"/>
      <c r="C8" s="245"/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45"/>
      <c r="Q8" s="245"/>
      <c r="R8" s="245"/>
      <c r="S8" s="245"/>
      <c r="T8" s="245"/>
      <c r="U8" s="245"/>
    </row>
    <row r="9" spans="1:22" ht="16.5" customHeight="1" x14ac:dyDescent="0.2">
      <c r="A9" s="241" t="s">
        <v>0</v>
      </c>
      <c r="B9" s="241" t="s">
        <v>1</v>
      </c>
      <c r="C9" s="242" t="s">
        <v>712</v>
      </c>
      <c r="D9" s="242"/>
      <c r="E9" s="242"/>
      <c r="F9" s="242"/>
      <c r="G9" s="242"/>
      <c r="H9" s="242"/>
      <c r="I9" s="242"/>
      <c r="J9" s="242"/>
      <c r="K9" s="242"/>
      <c r="L9" s="242"/>
      <c r="M9" s="242"/>
      <c r="N9" s="242"/>
      <c r="O9" s="242"/>
      <c r="P9" s="242"/>
      <c r="Q9" s="242"/>
      <c r="R9" s="242"/>
      <c r="S9" s="242"/>
      <c r="T9" s="242"/>
      <c r="U9" s="242"/>
      <c r="V9" s="242"/>
    </row>
    <row r="10" spans="1:22" s="50" customFormat="1" ht="15" customHeight="1" x14ac:dyDescent="0.2">
      <c r="A10" s="241"/>
      <c r="B10" s="241"/>
      <c r="C10" s="243" t="s">
        <v>23</v>
      </c>
      <c r="D10" s="243" t="s">
        <v>23</v>
      </c>
      <c r="E10" s="243" t="s">
        <v>23</v>
      </c>
      <c r="F10" s="243" t="s">
        <v>23</v>
      </c>
      <c r="G10" s="243" t="s">
        <v>4</v>
      </c>
      <c r="H10" s="243" t="s">
        <v>4</v>
      </c>
      <c r="I10" s="243" t="s">
        <v>4</v>
      </c>
      <c r="J10" s="243" t="s">
        <v>4</v>
      </c>
      <c r="K10" s="243" t="s">
        <v>12</v>
      </c>
      <c r="L10" s="243" t="s">
        <v>12</v>
      </c>
      <c r="M10" s="243" t="s">
        <v>12</v>
      </c>
      <c r="N10" s="243" t="s">
        <v>12</v>
      </c>
      <c r="O10" s="243" t="s">
        <v>27</v>
      </c>
      <c r="P10" s="243" t="s">
        <v>27</v>
      </c>
      <c r="Q10" s="243" t="s">
        <v>27</v>
      </c>
      <c r="R10" s="243" t="s">
        <v>27</v>
      </c>
      <c r="S10" s="241" t="s">
        <v>321</v>
      </c>
      <c r="T10" s="241" t="s">
        <v>321</v>
      </c>
      <c r="U10" s="241" t="s">
        <v>321</v>
      </c>
      <c r="V10" s="241" t="s">
        <v>321</v>
      </c>
    </row>
    <row r="11" spans="1:22" s="50" customFormat="1" ht="63.75" customHeight="1" x14ac:dyDescent="0.2">
      <c r="A11" s="241"/>
      <c r="B11" s="241"/>
      <c r="C11" s="243"/>
      <c r="D11" s="243"/>
      <c r="E11" s="243"/>
      <c r="F11" s="243"/>
      <c r="G11" s="243"/>
      <c r="H11" s="243"/>
      <c r="I11" s="243"/>
      <c r="J11" s="243"/>
      <c r="K11" s="243"/>
      <c r="L11" s="243"/>
      <c r="M11" s="243"/>
      <c r="N11" s="243"/>
      <c r="O11" s="243"/>
      <c r="P11" s="243"/>
      <c r="Q11" s="243"/>
      <c r="R11" s="243"/>
      <c r="S11" s="241"/>
      <c r="T11" s="241"/>
      <c r="U11" s="241"/>
      <c r="V11" s="241"/>
    </row>
    <row r="12" spans="1:22" ht="75" x14ac:dyDescent="0.2">
      <c r="A12" s="62" t="s">
        <v>365</v>
      </c>
      <c r="B12" s="166" t="s">
        <v>32</v>
      </c>
      <c r="C12" s="166">
        <v>54.52</v>
      </c>
      <c r="D12" s="103">
        <f>ROUND(C12*1.1,0)</f>
        <v>60</v>
      </c>
      <c r="E12" s="103">
        <v>69</v>
      </c>
      <c r="F12" s="103">
        <f>E12*1.04</f>
        <v>71.760000000000005</v>
      </c>
      <c r="G12" s="166">
        <v>45.95</v>
      </c>
      <c r="H12" s="103">
        <f>ROUND(G12*1.1,0)</f>
        <v>51</v>
      </c>
      <c r="I12" s="103">
        <v>59</v>
      </c>
      <c r="J12" s="103">
        <f>I12*1.04</f>
        <v>61.36</v>
      </c>
      <c r="K12" s="166">
        <v>38.61</v>
      </c>
      <c r="L12" s="103">
        <f>ROUND(K12*1.1,0)</f>
        <v>42</v>
      </c>
      <c r="M12" s="103">
        <v>48</v>
      </c>
      <c r="N12" s="103">
        <f>M12*1.04</f>
        <v>49.92</v>
      </c>
      <c r="O12" s="166">
        <v>41.44</v>
      </c>
      <c r="P12" s="103">
        <f>ROUND(O12*1.1,0)</f>
        <v>46</v>
      </c>
      <c r="Q12" s="103">
        <v>53</v>
      </c>
      <c r="R12" s="103">
        <f>Q12*1.04</f>
        <v>55.120000000000005</v>
      </c>
      <c r="S12" s="166">
        <v>38.46</v>
      </c>
      <c r="T12" s="103">
        <f>ROUND(S12*1.1,0)</f>
        <v>42</v>
      </c>
      <c r="U12" s="103">
        <f>ROUND(T12*1.15,0)</f>
        <v>48</v>
      </c>
      <c r="V12" s="103">
        <f>U12*1.04</f>
        <v>49.92</v>
      </c>
    </row>
    <row r="13" spans="1:22" ht="45" x14ac:dyDescent="0.2">
      <c r="A13" s="62" t="s">
        <v>366</v>
      </c>
      <c r="B13" s="166" t="s">
        <v>32</v>
      </c>
      <c r="C13" s="166">
        <v>54.52</v>
      </c>
      <c r="D13" s="103">
        <f t="shared" ref="D13:D31" si="0">ROUND(C13*1.1,0)</f>
        <v>60</v>
      </c>
      <c r="E13" s="103">
        <v>69</v>
      </c>
      <c r="F13" s="103">
        <f t="shared" ref="F13:F72" si="1">E13*1.04</f>
        <v>71.760000000000005</v>
      </c>
      <c r="G13" s="166">
        <v>45.95</v>
      </c>
      <c r="H13" s="103">
        <f t="shared" ref="H13:H19" si="2">ROUND(G13*1.1,0)</f>
        <v>51</v>
      </c>
      <c r="I13" s="103">
        <v>59</v>
      </c>
      <c r="J13" s="103">
        <f t="shared" ref="J13:J72" si="3">I13*1.04</f>
        <v>61.36</v>
      </c>
      <c r="K13" s="166">
        <v>38.61</v>
      </c>
      <c r="L13" s="103">
        <f t="shared" ref="L13:L31" si="4">ROUND(K13*1.1,0)</f>
        <v>42</v>
      </c>
      <c r="M13" s="103">
        <v>48</v>
      </c>
      <c r="N13" s="103">
        <f t="shared" ref="N13:N71" si="5">M13*1.04</f>
        <v>49.92</v>
      </c>
      <c r="O13" s="166">
        <v>41.44</v>
      </c>
      <c r="P13" s="103">
        <f t="shared" ref="P13:P31" si="6">ROUND(O13*1.1,0)</f>
        <v>46</v>
      </c>
      <c r="Q13" s="103">
        <v>53</v>
      </c>
      <c r="R13" s="103">
        <f t="shared" ref="R13:R72" si="7">Q13*1.04</f>
        <v>55.120000000000005</v>
      </c>
      <c r="S13" s="166">
        <v>38.46</v>
      </c>
      <c r="T13" s="103">
        <f t="shared" ref="T13:T19" si="8">ROUND(S13*1.1,0)</f>
        <v>42</v>
      </c>
      <c r="U13" s="103">
        <f t="shared" ref="U13:U31" si="9">ROUND(T13*1.15,0)</f>
        <v>48</v>
      </c>
      <c r="V13" s="103">
        <f t="shared" ref="V13:V72" si="10">U13*1.04</f>
        <v>49.92</v>
      </c>
    </row>
    <row r="14" spans="1:22" ht="45" x14ac:dyDescent="0.2">
      <c r="A14" s="62" t="s">
        <v>34</v>
      </c>
      <c r="B14" s="166" t="s">
        <v>32</v>
      </c>
      <c r="C14" s="166">
        <v>54.52</v>
      </c>
      <c r="D14" s="103">
        <f t="shared" si="0"/>
        <v>60</v>
      </c>
      <c r="E14" s="103">
        <v>69</v>
      </c>
      <c r="F14" s="103">
        <f t="shared" si="1"/>
        <v>71.760000000000005</v>
      </c>
      <c r="G14" s="166">
        <v>45.95</v>
      </c>
      <c r="H14" s="103">
        <f t="shared" si="2"/>
        <v>51</v>
      </c>
      <c r="I14" s="103">
        <v>59</v>
      </c>
      <c r="J14" s="103">
        <f t="shared" si="3"/>
        <v>61.36</v>
      </c>
      <c r="K14" s="166">
        <v>38.61</v>
      </c>
      <c r="L14" s="103">
        <f t="shared" si="4"/>
        <v>42</v>
      </c>
      <c r="M14" s="103">
        <v>48</v>
      </c>
      <c r="N14" s="103">
        <f t="shared" si="5"/>
        <v>49.92</v>
      </c>
      <c r="O14" s="166">
        <v>41.44</v>
      </c>
      <c r="P14" s="103">
        <f t="shared" si="6"/>
        <v>46</v>
      </c>
      <c r="Q14" s="103">
        <v>53</v>
      </c>
      <c r="R14" s="103">
        <f t="shared" si="7"/>
        <v>55.120000000000005</v>
      </c>
      <c r="S14" s="166">
        <v>38.46</v>
      </c>
      <c r="T14" s="103">
        <f t="shared" si="8"/>
        <v>42</v>
      </c>
      <c r="U14" s="103">
        <v>48</v>
      </c>
      <c r="V14" s="103">
        <f t="shared" si="10"/>
        <v>49.92</v>
      </c>
    </row>
    <row r="15" spans="1:22" ht="60" x14ac:dyDescent="0.2">
      <c r="A15" s="62" t="s">
        <v>367</v>
      </c>
      <c r="B15" s="166" t="s">
        <v>32</v>
      </c>
      <c r="C15" s="166">
        <v>36.340000000000003</v>
      </c>
      <c r="D15" s="103">
        <f t="shared" si="0"/>
        <v>40</v>
      </c>
      <c r="E15" s="103">
        <v>46</v>
      </c>
      <c r="F15" s="103">
        <f t="shared" si="1"/>
        <v>47.84</v>
      </c>
      <c r="G15" s="166">
        <v>30.64</v>
      </c>
      <c r="H15" s="103">
        <f t="shared" si="2"/>
        <v>34</v>
      </c>
      <c r="I15" s="103">
        <v>39</v>
      </c>
      <c r="J15" s="103">
        <f t="shared" si="3"/>
        <v>40.56</v>
      </c>
      <c r="K15" s="166">
        <v>25.74</v>
      </c>
      <c r="L15" s="103">
        <f t="shared" si="4"/>
        <v>28</v>
      </c>
      <c r="M15" s="103">
        <v>32</v>
      </c>
      <c r="N15" s="103">
        <f t="shared" si="5"/>
        <v>33.28</v>
      </c>
      <c r="O15" s="166">
        <v>27.63</v>
      </c>
      <c r="P15" s="103">
        <f t="shared" si="6"/>
        <v>30</v>
      </c>
      <c r="Q15" s="103">
        <v>35</v>
      </c>
      <c r="R15" s="103">
        <f t="shared" si="7"/>
        <v>36.4</v>
      </c>
      <c r="S15" s="166">
        <v>25.64</v>
      </c>
      <c r="T15" s="103">
        <f t="shared" si="8"/>
        <v>28</v>
      </c>
      <c r="U15" s="103">
        <v>32</v>
      </c>
      <c r="V15" s="103">
        <f t="shared" si="10"/>
        <v>33.28</v>
      </c>
    </row>
    <row r="16" spans="1:22" ht="60" x14ac:dyDescent="0.2">
      <c r="A16" s="62" t="s">
        <v>368</v>
      </c>
      <c r="B16" s="166" t="s">
        <v>32</v>
      </c>
      <c r="C16" s="166">
        <v>27.26</v>
      </c>
      <c r="D16" s="103">
        <f t="shared" si="0"/>
        <v>30</v>
      </c>
      <c r="E16" s="103">
        <v>35</v>
      </c>
      <c r="F16" s="103">
        <f t="shared" si="1"/>
        <v>36.4</v>
      </c>
      <c r="G16" s="166">
        <v>22.98</v>
      </c>
      <c r="H16" s="103">
        <f t="shared" si="2"/>
        <v>25</v>
      </c>
      <c r="I16" s="103">
        <v>29</v>
      </c>
      <c r="J16" s="103">
        <f t="shared" si="3"/>
        <v>30.16</v>
      </c>
      <c r="K16" s="166">
        <v>19.309999999999999</v>
      </c>
      <c r="L16" s="103">
        <f t="shared" si="4"/>
        <v>21</v>
      </c>
      <c r="M16" s="103">
        <v>24</v>
      </c>
      <c r="N16" s="103">
        <f t="shared" si="5"/>
        <v>24.96</v>
      </c>
      <c r="O16" s="166">
        <v>20.72</v>
      </c>
      <c r="P16" s="103">
        <f t="shared" si="6"/>
        <v>23</v>
      </c>
      <c r="Q16" s="103">
        <v>26</v>
      </c>
      <c r="R16" s="103">
        <f t="shared" si="7"/>
        <v>27.04</v>
      </c>
      <c r="S16" s="166">
        <v>19.23</v>
      </c>
      <c r="T16" s="103">
        <f t="shared" si="8"/>
        <v>21</v>
      </c>
      <c r="U16" s="103">
        <f t="shared" si="9"/>
        <v>24</v>
      </c>
      <c r="V16" s="103">
        <f t="shared" si="10"/>
        <v>24.96</v>
      </c>
    </row>
    <row r="17" spans="1:22" ht="42" customHeight="1" x14ac:dyDescent="0.2">
      <c r="A17" s="62" t="s">
        <v>369</v>
      </c>
      <c r="B17" s="166" t="s">
        <v>32</v>
      </c>
      <c r="C17" s="166">
        <v>27.26</v>
      </c>
      <c r="D17" s="103">
        <f t="shared" si="0"/>
        <v>30</v>
      </c>
      <c r="E17" s="103">
        <v>35</v>
      </c>
      <c r="F17" s="103">
        <f t="shared" si="1"/>
        <v>36.4</v>
      </c>
      <c r="G17" s="166">
        <v>22.98</v>
      </c>
      <c r="H17" s="103">
        <f t="shared" si="2"/>
        <v>25</v>
      </c>
      <c r="I17" s="103">
        <v>29</v>
      </c>
      <c r="J17" s="103">
        <f t="shared" si="3"/>
        <v>30.16</v>
      </c>
      <c r="K17" s="166">
        <v>19.309999999999999</v>
      </c>
      <c r="L17" s="103">
        <f t="shared" si="4"/>
        <v>21</v>
      </c>
      <c r="M17" s="103">
        <v>24</v>
      </c>
      <c r="N17" s="103">
        <f t="shared" si="5"/>
        <v>24.96</v>
      </c>
      <c r="O17" s="166">
        <v>20.72</v>
      </c>
      <c r="P17" s="103">
        <f t="shared" si="6"/>
        <v>23</v>
      </c>
      <c r="Q17" s="103">
        <v>26</v>
      </c>
      <c r="R17" s="103">
        <f t="shared" si="7"/>
        <v>27.04</v>
      </c>
      <c r="S17" s="166">
        <v>19.23</v>
      </c>
      <c r="T17" s="103">
        <f t="shared" si="8"/>
        <v>21</v>
      </c>
      <c r="U17" s="103">
        <v>24</v>
      </c>
      <c r="V17" s="103">
        <f t="shared" si="10"/>
        <v>24.96</v>
      </c>
    </row>
    <row r="18" spans="1:22" ht="45" x14ac:dyDescent="0.2">
      <c r="A18" s="62" t="s">
        <v>370</v>
      </c>
      <c r="B18" s="166" t="s">
        <v>32</v>
      </c>
      <c r="C18" s="166">
        <v>72.69</v>
      </c>
      <c r="D18" s="103">
        <f t="shared" si="0"/>
        <v>80</v>
      </c>
      <c r="E18" s="103">
        <v>92</v>
      </c>
      <c r="F18" s="103">
        <f t="shared" si="1"/>
        <v>95.68</v>
      </c>
      <c r="G18" s="166">
        <v>61.27</v>
      </c>
      <c r="H18" s="103">
        <f t="shared" si="2"/>
        <v>67</v>
      </c>
      <c r="I18" s="103">
        <v>77</v>
      </c>
      <c r="J18" s="103">
        <f t="shared" si="3"/>
        <v>80.08</v>
      </c>
      <c r="K18" s="166">
        <v>51.48</v>
      </c>
      <c r="L18" s="103">
        <f t="shared" si="4"/>
        <v>57</v>
      </c>
      <c r="M18" s="103">
        <v>66</v>
      </c>
      <c r="N18" s="103">
        <f t="shared" si="5"/>
        <v>68.64</v>
      </c>
      <c r="O18" s="166">
        <v>55.25</v>
      </c>
      <c r="P18" s="103">
        <f t="shared" si="6"/>
        <v>61</v>
      </c>
      <c r="Q18" s="103">
        <v>70</v>
      </c>
      <c r="R18" s="103">
        <f t="shared" si="7"/>
        <v>72.8</v>
      </c>
      <c r="S18" s="166">
        <v>51.27</v>
      </c>
      <c r="T18" s="103">
        <f t="shared" si="8"/>
        <v>56</v>
      </c>
      <c r="U18" s="103">
        <v>64</v>
      </c>
      <c r="V18" s="103">
        <f t="shared" si="10"/>
        <v>66.56</v>
      </c>
    </row>
    <row r="19" spans="1:22" ht="60" x14ac:dyDescent="0.2">
      <c r="A19" s="62" t="s">
        <v>371</v>
      </c>
      <c r="B19" s="166" t="s">
        <v>32</v>
      </c>
      <c r="C19" s="166">
        <v>9.09</v>
      </c>
      <c r="D19" s="103">
        <f t="shared" si="0"/>
        <v>10</v>
      </c>
      <c r="E19" s="103">
        <v>12</v>
      </c>
      <c r="F19" s="103">
        <f t="shared" si="1"/>
        <v>12.48</v>
      </c>
      <c r="G19" s="166">
        <v>7.66</v>
      </c>
      <c r="H19" s="103">
        <f t="shared" si="2"/>
        <v>8</v>
      </c>
      <c r="I19" s="103">
        <v>9</v>
      </c>
      <c r="J19" s="103">
        <f t="shared" si="3"/>
        <v>9.36</v>
      </c>
      <c r="K19" s="166">
        <v>6.44</v>
      </c>
      <c r="L19" s="103">
        <f t="shared" si="4"/>
        <v>7</v>
      </c>
      <c r="M19" s="103">
        <v>8</v>
      </c>
      <c r="N19" s="103">
        <f t="shared" si="5"/>
        <v>8.32</v>
      </c>
      <c r="O19" s="166">
        <v>6.91</v>
      </c>
      <c r="P19" s="103">
        <f t="shared" si="6"/>
        <v>8</v>
      </c>
      <c r="Q19" s="103">
        <v>9</v>
      </c>
      <c r="R19" s="103">
        <f t="shared" si="7"/>
        <v>9.36</v>
      </c>
      <c r="S19" s="166">
        <v>6.41</v>
      </c>
      <c r="T19" s="103">
        <f t="shared" si="8"/>
        <v>7</v>
      </c>
      <c r="U19" s="103">
        <f t="shared" si="9"/>
        <v>8</v>
      </c>
      <c r="V19" s="103">
        <f t="shared" si="10"/>
        <v>8.32</v>
      </c>
    </row>
    <row r="20" spans="1:22" x14ac:dyDescent="0.2">
      <c r="A20" s="62" t="s">
        <v>41</v>
      </c>
      <c r="B20" s="166"/>
      <c r="C20" s="166"/>
      <c r="D20" s="166"/>
      <c r="E20" s="103"/>
      <c r="F20" s="103"/>
      <c r="G20" s="166"/>
      <c r="H20" s="166"/>
      <c r="I20" s="103"/>
      <c r="J20" s="103"/>
      <c r="K20" s="166"/>
      <c r="L20" s="166"/>
      <c r="M20" s="103"/>
      <c r="N20" s="103"/>
      <c r="O20" s="166"/>
      <c r="P20" s="166"/>
      <c r="Q20" s="103"/>
      <c r="R20" s="103"/>
      <c r="S20" s="166"/>
      <c r="T20" s="166"/>
      <c r="U20" s="103"/>
      <c r="V20" s="103"/>
    </row>
    <row r="21" spans="1:22" x14ac:dyDescent="0.2">
      <c r="A21" s="62" t="s">
        <v>42</v>
      </c>
      <c r="B21" s="166" t="s">
        <v>32</v>
      </c>
      <c r="C21" s="166">
        <v>4.54</v>
      </c>
      <c r="D21" s="103">
        <f t="shared" si="0"/>
        <v>5</v>
      </c>
      <c r="E21" s="103">
        <v>6</v>
      </c>
      <c r="F21" s="103">
        <f t="shared" si="1"/>
        <v>6.24</v>
      </c>
      <c r="G21" s="166">
        <v>3.83</v>
      </c>
      <c r="H21" s="103">
        <f t="shared" ref="H21:H31" si="11">ROUND(G21*1.1,0)</f>
        <v>4</v>
      </c>
      <c r="I21" s="103">
        <v>5</v>
      </c>
      <c r="J21" s="103">
        <f t="shared" si="3"/>
        <v>5.2</v>
      </c>
      <c r="K21" s="166">
        <v>3.22</v>
      </c>
      <c r="L21" s="103">
        <f t="shared" si="4"/>
        <v>4</v>
      </c>
      <c r="M21" s="103">
        <v>5</v>
      </c>
      <c r="N21" s="103">
        <f t="shared" si="5"/>
        <v>5.2</v>
      </c>
      <c r="O21" s="166">
        <v>3.45</v>
      </c>
      <c r="P21" s="103">
        <f t="shared" si="6"/>
        <v>4</v>
      </c>
      <c r="Q21" s="103">
        <v>5</v>
      </c>
      <c r="R21" s="103">
        <f t="shared" si="7"/>
        <v>5.2</v>
      </c>
      <c r="S21" s="166">
        <v>3.21</v>
      </c>
      <c r="T21" s="103">
        <f t="shared" ref="T21:T31" si="12">ROUND(S21*1.1,0)</f>
        <v>4</v>
      </c>
      <c r="U21" s="103">
        <f t="shared" si="9"/>
        <v>5</v>
      </c>
      <c r="V21" s="103">
        <f t="shared" si="10"/>
        <v>5.2</v>
      </c>
    </row>
    <row r="22" spans="1:22" x14ac:dyDescent="0.2">
      <c r="A22" s="62" t="s">
        <v>43</v>
      </c>
      <c r="B22" s="166" t="s">
        <v>32</v>
      </c>
      <c r="C22" s="166">
        <v>4.54</v>
      </c>
      <c r="D22" s="103">
        <f t="shared" si="0"/>
        <v>5</v>
      </c>
      <c r="E22" s="103">
        <v>6</v>
      </c>
      <c r="F22" s="103">
        <f t="shared" si="1"/>
        <v>6.24</v>
      </c>
      <c r="G22" s="166">
        <v>3.83</v>
      </c>
      <c r="H22" s="103">
        <f t="shared" si="11"/>
        <v>4</v>
      </c>
      <c r="I22" s="103">
        <v>5</v>
      </c>
      <c r="J22" s="103">
        <f t="shared" si="3"/>
        <v>5.2</v>
      </c>
      <c r="K22" s="166">
        <v>3.22</v>
      </c>
      <c r="L22" s="103">
        <f t="shared" si="4"/>
        <v>4</v>
      </c>
      <c r="M22" s="103">
        <v>5</v>
      </c>
      <c r="N22" s="103">
        <f t="shared" si="5"/>
        <v>5.2</v>
      </c>
      <c r="O22" s="166">
        <v>3.45</v>
      </c>
      <c r="P22" s="103">
        <f t="shared" si="6"/>
        <v>4</v>
      </c>
      <c r="Q22" s="103">
        <v>5</v>
      </c>
      <c r="R22" s="103">
        <f t="shared" si="7"/>
        <v>5.2</v>
      </c>
      <c r="S22" s="166">
        <v>3.21</v>
      </c>
      <c r="T22" s="103">
        <f t="shared" si="12"/>
        <v>4</v>
      </c>
      <c r="U22" s="103">
        <f t="shared" si="9"/>
        <v>5</v>
      </c>
      <c r="V22" s="103">
        <f t="shared" si="10"/>
        <v>5.2</v>
      </c>
    </row>
    <row r="23" spans="1:22" x14ac:dyDescent="0.2">
      <c r="A23" s="62" t="s">
        <v>44</v>
      </c>
      <c r="B23" s="166" t="s">
        <v>32</v>
      </c>
      <c r="C23" s="166">
        <v>27.26</v>
      </c>
      <c r="D23" s="103">
        <f t="shared" si="0"/>
        <v>30</v>
      </c>
      <c r="E23" s="103">
        <v>35</v>
      </c>
      <c r="F23" s="103">
        <f t="shared" si="1"/>
        <v>36.4</v>
      </c>
      <c r="G23" s="166">
        <v>22.98</v>
      </c>
      <c r="H23" s="103">
        <f t="shared" si="11"/>
        <v>25</v>
      </c>
      <c r="I23" s="103">
        <v>29</v>
      </c>
      <c r="J23" s="103">
        <f t="shared" si="3"/>
        <v>30.16</v>
      </c>
      <c r="K23" s="166">
        <v>19.309999999999999</v>
      </c>
      <c r="L23" s="103">
        <f t="shared" si="4"/>
        <v>21</v>
      </c>
      <c r="M23" s="103">
        <v>24</v>
      </c>
      <c r="N23" s="103">
        <f t="shared" si="5"/>
        <v>24.96</v>
      </c>
      <c r="O23" s="166">
        <v>20.72</v>
      </c>
      <c r="P23" s="103">
        <f t="shared" si="6"/>
        <v>23</v>
      </c>
      <c r="Q23" s="103">
        <v>26</v>
      </c>
      <c r="R23" s="103">
        <f t="shared" si="7"/>
        <v>27.04</v>
      </c>
      <c r="S23" s="166">
        <v>19.23</v>
      </c>
      <c r="T23" s="103">
        <f t="shared" si="12"/>
        <v>21</v>
      </c>
      <c r="U23" s="103">
        <f t="shared" si="9"/>
        <v>24</v>
      </c>
      <c r="V23" s="103">
        <f t="shared" si="10"/>
        <v>24.96</v>
      </c>
    </row>
    <row r="24" spans="1:22" x14ac:dyDescent="0.2">
      <c r="A24" s="62" t="s">
        <v>620</v>
      </c>
      <c r="B24" s="166" t="s">
        <v>32</v>
      </c>
      <c r="C24" s="166">
        <v>18.170000000000002</v>
      </c>
      <c r="D24" s="103">
        <f t="shared" si="0"/>
        <v>20</v>
      </c>
      <c r="E24" s="103">
        <v>23</v>
      </c>
      <c r="F24" s="103">
        <f t="shared" si="1"/>
        <v>23.92</v>
      </c>
      <c r="G24" s="166">
        <v>15.31</v>
      </c>
      <c r="H24" s="103">
        <f t="shared" si="11"/>
        <v>17</v>
      </c>
      <c r="I24" s="103">
        <v>20</v>
      </c>
      <c r="J24" s="103">
        <f t="shared" si="3"/>
        <v>20.8</v>
      </c>
      <c r="K24" s="166">
        <v>12.87</v>
      </c>
      <c r="L24" s="103">
        <f t="shared" si="4"/>
        <v>14</v>
      </c>
      <c r="M24" s="103">
        <v>16</v>
      </c>
      <c r="N24" s="103">
        <f t="shared" si="5"/>
        <v>16.64</v>
      </c>
      <c r="O24" s="166">
        <v>13.82</v>
      </c>
      <c r="P24" s="103">
        <f t="shared" si="6"/>
        <v>15</v>
      </c>
      <c r="Q24" s="103">
        <v>17</v>
      </c>
      <c r="R24" s="103">
        <f t="shared" si="7"/>
        <v>17.68</v>
      </c>
      <c r="S24" s="166">
        <v>12.82</v>
      </c>
      <c r="T24" s="103">
        <f t="shared" si="12"/>
        <v>14</v>
      </c>
      <c r="U24" s="103">
        <f t="shared" si="9"/>
        <v>16</v>
      </c>
      <c r="V24" s="103">
        <f t="shared" si="10"/>
        <v>16.64</v>
      </c>
    </row>
    <row r="25" spans="1:22" hidden="1" x14ac:dyDescent="0.2">
      <c r="A25" s="62" t="s">
        <v>372</v>
      </c>
      <c r="B25" s="166" t="s">
        <v>32</v>
      </c>
      <c r="C25" s="166">
        <v>9.09</v>
      </c>
      <c r="D25" s="103">
        <f t="shared" si="0"/>
        <v>10</v>
      </c>
      <c r="E25" s="103">
        <f t="shared" ref="E25:E46" si="13">ROUND(D25*1.15,0)</f>
        <v>12</v>
      </c>
      <c r="F25" s="103">
        <f t="shared" si="1"/>
        <v>12.48</v>
      </c>
      <c r="G25" s="166">
        <v>7.66</v>
      </c>
      <c r="H25" s="103">
        <f t="shared" si="11"/>
        <v>8</v>
      </c>
      <c r="I25" s="103">
        <f t="shared" ref="I25:I31" si="14">ROUND(H25*1.15,0)</f>
        <v>9</v>
      </c>
      <c r="J25" s="103">
        <f t="shared" si="3"/>
        <v>9.36</v>
      </c>
      <c r="K25" s="166">
        <v>6.44</v>
      </c>
      <c r="L25" s="103">
        <f t="shared" si="4"/>
        <v>7</v>
      </c>
      <c r="M25" s="103">
        <f t="shared" ref="M25:M31" si="15">ROUND(L25*1.15,0)</f>
        <v>8</v>
      </c>
      <c r="N25" s="103">
        <f t="shared" si="5"/>
        <v>8.32</v>
      </c>
      <c r="O25" s="166">
        <v>6.91</v>
      </c>
      <c r="P25" s="103">
        <f t="shared" si="6"/>
        <v>8</v>
      </c>
      <c r="Q25" s="103">
        <f t="shared" ref="Q25:Q31" si="16">ROUND(P25*1.15,0)</f>
        <v>9</v>
      </c>
      <c r="R25" s="103">
        <f t="shared" si="7"/>
        <v>9.36</v>
      </c>
      <c r="S25" s="166">
        <v>6.41</v>
      </c>
      <c r="T25" s="103">
        <f t="shared" si="12"/>
        <v>7</v>
      </c>
      <c r="U25" s="103">
        <f t="shared" si="9"/>
        <v>8</v>
      </c>
      <c r="V25" s="103">
        <f t="shared" si="10"/>
        <v>8.32</v>
      </c>
    </row>
    <row r="26" spans="1:22" x14ac:dyDescent="0.2">
      <c r="A26" s="62" t="s">
        <v>621</v>
      </c>
      <c r="B26" s="166" t="s">
        <v>32</v>
      </c>
      <c r="C26" s="166">
        <v>9.09</v>
      </c>
      <c r="D26" s="103">
        <f>ROUND(C26*1.1,0)</f>
        <v>10</v>
      </c>
      <c r="E26" s="103">
        <v>12</v>
      </c>
      <c r="F26" s="103">
        <f t="shared" si="1"/>
        <v>12.48</v>
      </c>
      <c r="G26" s="166">
        <v>7.66</v>
      </c>
      <c r="H26" s="103">
        <f>ROUND(G26*1.1,0)</f>
        <v>8</v>
      </c>
      <c r="I26" s="103">
        <f t="shared" si="14"/>
        <v>9</v>
      </c>
      <c r="J26" s="103">
        <f t="shared" si="3"/>
        <v>9.36</v>
      </c>
      <c r="K26" s="166">
        <v>6.44</v>
      </c>
      <c r="L26" s="103">
        <f>ROUND(K26*1.1,0)</f>
        <v>7</v>
      </c>
      <c r="M26" s="103">
        <v>8</v>
      </c>
      <c r="N26" s="103">
        <f t="shared" si="5"/>
        <v>8.32</v>
      </c>
      <c r="O26" s="166">
        <v>6.91</v>
      </c>
      <c r="P26" s="103">
        <f>ROUND(O26*1.1,0)</f>
        <v>8</v>
      </c>
      <c r="Q26" s="103">
        <f t="shared" si="16"/>
        <v>9</v>
      </c>
      <c r="R26" s="103">
        <f t="shared" si="7"/>
        <v>9.36</v>
      </c>
      <c r="S26" s="166">
        <v>6.41</v>
      </c>
      <c r="T26" s="103">
        <f>ROUND(S26*1.1,0)</f>
        <v>7</v>
      </c>
      <c r="U26" s="103">
        <f t="shared" si="9"/>
        <v>8</v>
      </c>
      <c r="V26" s="103">
        <f t="shared" si="10"/>
        <v>8.32</v>
      </c>
    </row>
    <row r="27" spans="1:22" x14ac:dyDescent="0.2">
      <c r="A27" s="62" t="s">
        <v>84</v>
      </c>
      <c r="B27" s="166" t="s">
        <v>32</v>
      </c>
      <c r="C27" s="166">
        <v>27.26</v>
      </c>
      <c r="D27" s="103">
        <f>ROUND(C27*1.1,0)</f>
        <v>30</v>
      </c>
      <c r="E27" s="103">
        <v>35</v>
      </c>
      <c r="F27" s="103">
        <f t="shared" si="1"/>
        <v>36.4</v>
      </c>
      <c r="G27" s="166">
        <v>22.98</v>
      </c>
      <c r="H27" s="103">
        <f>ROUND(G27*1.1,0)</f>
        <v>25</v>
      </c>
      <c r="I27" s="103">
        <v>29</v>
      </c>
      <c r="J27" s="103">
        <f t="shared" si="3"/>
        <v>30.16</v>
      </c>
      <c r="K27" s="166">
        <v>19.309999999999999</v>
      </c>
      <c r="L27" s="103">
        <f>ROUND(K27*1.1,0)</f>
        <v>21</v>
      </c>
      <c r="M27" s="103">
        <v>24</v>
      </c>
      <c r="N27" s="103">
        <f t="shared" si="5"/>
        <v>24.96</v>
      </c>
      <c r="O27" s="166">
        <v>20.72</v>
      </c>
      <c r="P27" s="103">
        <f>ROUND(O27*1.1,0)</f>
        <v>23</v>
      </c>
      <c r="Q27" s="103">
        <v>26</v>
      </c>
      <c r="R27" s="103">
        <f t="shared" si="7"/>
        <v>27.04</v>
      </c>
      <c r="S27" s="166">
        <v>19.23</v>
      </c>
      <c r="T27" s="103">
        <f>ROUND(S27*1.1,0)</f>
        <v>21</v>
      </c>
      <c r="U27" s="103">
        <v>24</v>
      </c>
      <c r="V27" s="103">
        <f t="shared" si="10"/>
        <v>24.96</v>
      </c>
    </row>
    <row r="28" spans="1:22" ht="90" x14ac:dyDescent="0.2">
      <c r="A28" s="62" t="s">
        <v>47</v>
      </c>
      <c r="B28" s="166" t="s">
        <v>32</v>
      </c>
      <c r="C28" s="166">
        <v>72.69</v>
      </c>
      <c r="D28" s="103">
        <f t="shared" si="0"/>
        <v>80</v>
      </c>
      <c r="E28" s="103">
        <v>92</v>
      </c>
      <c r="F28" s="103">
        <f t="shared" si="1"/>
        <v>95.68</v>
      </c>
      <c r="G28" s="166">
        <v>61.27</v>
      </c>
      <c r="H28" s="103">
        <f t="shared" si="11"/>
        <v>67</v>
      </c>
      <c r="I28" s="103">
        <v>77</v>
      </c>
      <c r="J28" s="103">
        <f t="shared" si="3"/>
        <v>80.08</v>
      </c>
      <c r="K28" s="166">
        <v>51.48</v>
      </c>
      <c r="L28" s="103">
        <f t="shared" si="4"/>
        <v>57</v>
      </c>
      <c r="M28" s="103">
        <v>66</v>
      </c>
      <c r="N28" s="103">
        <f t="shared" si="5"/>
        <v>68.64</v>
      </c>
      <c r="O28" s="166">
        <v>55.25</v>
      </c>
      <c r="P28" s="103">
        <f t="shared" si="6"/>
        <v>61</v>
      </c>
      <c r="Q28" s="103">
        <v>70</v>
      </c>
      <c r="R28" s="103">
        <f t="shared" si="7"/>
        <v>72.8</v>
      </c>
      <c r="S28" s="166">
        <v>51.27</v>
      </c>
      <c r="T28" s="103">
        <f t="shared" si="12"/>
        <v>56</v>
      </c>
      <c r="U28" s="103">
        <v>64</v>
      </c>
      <c r="V28" s="103">
        <f t="shared" si="10"/>
        <v>66.56</v>
      </c>
    </row>
    <row r="29" spans="1:22" ht="75" x14ac:dyDescent="0.2">
      <c r="A29" s="62" t="s">
        <v>48</v>
      </c>
      <c r="B29" s="166" t="s">
        <v>32</v>
      </c>
      <c r="C29" s="166">
        <v>14.63</v>
      </c>
      <c r="D29" s="103">
        <f t="shared" si="0"/>
        <v>16</v>
      </c>
      <c r="E29" s="103">
        <v>18</v>
      </c>
      <c r="F29" s="103">
        <f t="shared" si="1"/>
        <v>18.72</v>
      </c>
      <c r="G29" s="166">
        <v>15.97</v>
      </c>
      <c r="H29" s="103">
        <f t="shared" si="11"/>
        <v>18</v>
      </c>
      <c r="I29" s="103">
        <v>21</v>
      </c>
      <c r="J29" s="103">
        <f t="shared" si="3"/>
        <v>21.84</v>
      </c>
      <c r="K29" s="166">
        <v>11.81</v>
      </c>
      <c r="L29" s="103">
        <f t="shared" si="4"/>
        <v>13</v>
      </c>
      <c r="M29" s="103">
        <v>15</v>
      </c>
      <c r="N29" s="103">
        <f t="shared" si="5"/>
        <v>15.600000000000001</v>
      </c>
      <c r="O29" s="166">
        <v>10.85</v>
      </c>
      <c r="P29" s="103">
        <f t="shared" si="6"/>
        <v>12</v>
      </c>
      <c r="Q29" s="103">
        <v>14</v>
      </c>
      <c r="R29" s="103">
        <f t="shared" si="7"/>
        <v>14.56</v>
      </c>
      <c r="S29" s="166">
        <v>15.97</v>
      </c>
      <c r="T29" s="103">
        <f t="shared" si="12"/>
        <v>18</v>
      </c>
      <c r="U29" s="103">
        <v>21</v>
      </c>
      <c r="V29" s="103">
        <f t="shared" si="10"/>
        <v>21.84</v>
      </c>
    </row>
    <row r="30" spans="1:22" ht="30" x14ac:dyDescent="0.2">
      <c r="A30" s="62" t="s">
        <v>49</v>
      </c>
      <c r="B30" s="166" t="s">
        <v>32</v>
      </c>
      <c r="C30" s="166">
        <v>9.09</v>
      </c>
      <c r="D30" s="103">
        <f t="shared" si="0"/>
        <v>10</v>
      </c>
      <c r="E30" s="103">
        <v>12</v>
      </c>
      <c r="F30" s="103">
        <f t="shared" si="1"/>
        <v>12.48</v>
      </c>
      <c r="G30" s="166">
        <v>7.66</v>
      </c>
      <c r="H30" s="103">
        <f t="shared" si="11"/>
        <v>8</v>
      </c>
      <c r="I30" s="103">
        <v>9</v>
      </c>
      <c r="J30" s="103">
        <f t="shared" si="3"/>
        <v>9.36</v>
      </c>
      <c r="K30" s="166">
        <v>6.44</v>
      </c>
      <c r="L30" s="103">
        <f t="shared" si="4"/>
        <v>7</v>
      </c>
      <c r="M30" s="103">
        <f t="shared" si="15"/>
        <v>8</v>
      </c>
      <c r="N30" s="103">
        <f t="shared" si="5"/>
        <v>8.32</v>
      </c>
      <c r="O30" s="166">
        <v>6.91</v>
      </c>
      <c r="P30" s="103">
        <f t="shared" si="6"/>
        <v>8</v>
      </c>
      <c r="Q30" s="103">
        <v>9</v>
      </c>
      <c r="R30" s="103">
        <f t="shared" si="7"/>
        <v>9.36</v>
      </c>
      <c r="S30" s="166">
        <v>6.41</v>
      </c>
      <c r="T30" s="103">
        <f t="shared" si="12"/>
        <v>7</v>
      </c>
      <c r="U30" s="103">
        <f t="shared" si="9"/>
        <v>8</v>
      </c>
      <c r="V30" s="103">
        <f t="shared" si="10"/>
        <v>8.32</v>
      </c>
    </row>
    <row r="31" spans="1:22" ht="30" x14ac:dyDescent="0.2">
      <c r="A31" s="62" t="s">
        <v>50</v>
      </c>
      <c r="B31" s="166" t="s">
        <v>32</v>
      </c>
      <c r="C31" s="166">
        <v>9.09</v>
      </c>
      <c r="D31" s="103">
        <f t="shared" si="0"/>
        <v>10</v>
      </c>
      <c r="E31" s="103">
        <v>12</v>
      </c>
      <c r="F31" s="103">
        <f t="shared" si="1"/>
        <v>12.48</v>
      </c>
      <c r="G31" s="166">
        <v>7.66</v>
      </c>
      <c r="H31" s="103">
        <f t="shared" si="11"/>
        <v>8</v>
      </c>
      <c r="I31" s="103">
        <f t="shared" si="14"/>
        <v>9</v>
      </c>
      <c r="J31" s="103">
        <f t="shared" si="3"/>
        <v>9.36</v>
      </c>
      <c r="K31" s="166">
        <v>6.44</v>
      </c>
      <c r="L31" s="103">
        <f t="shared" si="4"/>
        <v>7</v>
      </c>
      <c r="M31" s="103">
        <f t="shared" si="15"/>
        <v>8</v>
      </c>
      <c r="N31" s="103">
        <f t="shared" si="5"/>
        <v>8.32</v>
      </c>
      <c r="O31" s="166">
        <v>6.91</v>
      </c>
      <c r="P31" s="103">
        <f t="shared" si="6"/>
        <v>8</v>
      </c>
      <c r="Q31" s="103">
        <f t="shared" si="16"/>
        <v>9</v>
      </c>
      <c r="R31" s="103">
        <f t="shared" si="7"/>
        <v>9.36</v>
      </c>
      <c r="S31" s="166">
        <v>6.41</v>
      </c>
      <c r="T31" s="103">
        <f t="shared" si="12"/>
        <v>7</v>
      </c>
      <c r="U31" s="103">
        <f t="shared" si="9"/>
        <v>8</v>
      </c>
      <c r="V31" s="103">
        <f t="shared" si="10"/>
        <v>8.32</v>
      </c>
    </row>
    <row r="32" spans="1:22" ht="45" x14ac:dyDescent="0.2">
      <c r="A32" s="62" t="s">
        <v>373</v>
      </c>
      <c r="B32" s="166"/>
      <c r="C32" s="166"/>
      <c r="D32" s="166"/>
      <c r="E32" s="103"/>
      <c r="F32" s="103"/>
      <c r="G32" s="166"/>
      <c r="H32" s="166"/>
      <c r="I32" s="166"/>
      <c r="J32" s="103"/>
      <c r="K32" s="166"/>
      <c r="L32" s="166"/>
      <c r="M32" s="166"/>
      <c r="N32" s="103"/>
      <c r="O32" s="166"/>
      <c r="P32" s="166"/>
      <c r="Q32" s="166"/>
      <c r="R32" s="103"/>
      <c r="S32" s="166"/>
      <c r="T32" s="166"/>
      <c r="U32" s="166"/>
      <c r="V32" s="103"/>
    </row>
    <row r="33" spans="1:22" x14ac:dyDescent="0.2">
      <c r="A33" s="62" t="s">
        <v>53</v>
      </c>
      <c r="B33" s="166" t="s">
        <v>32</v>
      </c>
      <c r="C33" s="166">
        <v>9.09</v>
      </c>
      <c r="D33" s="103">
        <f t="shared" ref="D33:D44" si="17">ROUND(C33*1.1,0)</f>
        <v>10</v>
      </c>
      <c r="E33" s="103">
        <v>12</v>
      </c>
      <c r="F33" s="103">
        <f t="shared" si="1"/>
        <v>12.48</v>
      </c>
      <c r="G33" s="166">
        <v>7.66</v>
      </c>
      <c r="H33" s="103">
        <f t="shared" ref="H33:H44" si="18">ROUND(G33*1.1,0)</f>
        <v>8</v>
      </c>
      <c r="I33" s="103">
        <f t="shared" ref="I33:I51" si="19">ROUND(H33*1.15,0)</f>
        <v>9</v>
      </c>
      <c r="J33" s="103">
        <f t="shared" si="3"/>
        <v>9.36</v>
      </c>
      <c r="K33" s="166">
        <v>6.44</v>
      </c>
      <c r="L33" s="103">
        <f t="shared" ref="L33:L44" si="20">ROUND(K33*1.1,0)</f>
        <v>7</v>
      </c>
      <c r="M33" s="103">
        <f t="shared" ref="M33:M36" si="21">ROUND(L33*1.15,0)</f>
        <v>8</v>
      </c>
      <c r="N33" s="103">
        <f t="shared" si="5"/>
        <v>8.32</v>
      </c>
      <c r="O33" s="166">
        <v>6.91</v>
      </c>
      <c r="P33" s="103">
        <f t="shared" ref="P33:P44" si="22">ROUND(O33*1.1,0)</f>
        <v>8</v>
      </c>
      <c r="Q33" s="103">
        <f t="shared" ref="Q33:Q46" si="23">ROUND(P33*1.15,0)</f>
        <v>9</v>
      </c>
      <c r="R33" s="103">
        <f t="shared" si="7"/>
        <v>9.36</v>
      </c>
      <c r="S33" s="166">
        <v>6.41</v>
      </c>
      <c r="T33" s="103">
        <f t="shared" ref="T33:T44" si="24">ROUND(S33*1.1,0)</f>
        <v>7</v>
      </c>
      <c r="U33" s="103">
        <f t="shared" ref="U33:U46" si="25">ROUND(T33*1.15,0)</f>
        <v>8</v>
      </c>
      <c r="V33" s="103">
        <f t="shared" si="10"/>
        <v>8.32</v>
      </c>
    </row>
    <row r="34" spans="1:22" x14ac:dyDescent="0.2">
      <c r="A34" s="62" t="s">
        <v>54</v>
      </c>
      <c r="B34" s="166" t="s">
        <v>32</v>
      </c>
      <c r="C34" s="166">
        <v>18.170000000000002</v>
      </c>
      <c r="D34" s="103">
        <f t="shared" si="17"/>
        <v>20</v>
      </c>
      <c r="E34" s="103">
        <v>23</v>
      </c>
      <c r="F34" s="103">
        <f t="shared" si="1"/>
        <v>23.92</v>
      </c>
      <c r="G34" s="166">
        <v>15.31</v>
      </c>
      <c r="H34" s="103">
        <f t="shared" si="18"/>
        <v>17</v>
      </c>
      <c r="I34" s="103">
        <v>20</v>
      </c>
      <c r="J34" s="103">
        <f t="shared" si="3"/>
        <v>20.8</v>
      </c>
      <c r="K34" s="166">
        <v>12.87</v>
      </c>
      <c r="L34" s="103">
        <f t="shared" si="20"/>
        <v>14</v>
      </c>
      <c r="M34" s="103">
        <v>16</v>
      </c>
      <c r="N34" s="103">
        <f t="shared" si="5"/>
        <v>16.64</v>
      </c>
      <c r="O34" s="166">
        <v>13.82</v>
      </c>
      <c r="P34" s="103">
        <f t="shared" si="22"/>
        <v>15</v>
      </c>
      <c r="Q34" s="103">
        <f t="shared" si="23"/>
        <v>17</v>
      </c>
      <c r="R34" s="103">
        <f t="shared" si="7"/>
        <v>17.68</v>
      </c>
      <c r="S34" s="166">
        <v>12.82</v>
      </c>
      <c r="T34" s="103">
        <f t="shared" si="24"/>
        <v>14</v>
      </c>
      <c r="U34" s="103">
        <f t="shared" si="25"/>
        <v>16</v>
      </c>
      <c r="V34" s="103">
        <f t="shared" si="10"/>
        <v>16.64</v>
      </c>
    </row>
    <row r="35" spans="1:22" x14ac:dyDescent="0.2">
      <c r="A35" s="62" t="s">
        <v>55</v>
      </c>
      <c r="B35" s="166" t="s">
        <v>32</v>
      </c>
      <c r="C35" s="166">
        <v>9.09</v>
      </c>
      <c r="D35" s="103">
        <f t="shared" si="17"/>
        <v>10</v>
      </c>
      <c r="E35" s="103">
        <v>12</v>
      </c>
      <c r="F35" s="103">
        <f t="shared" si="1"/>
        <v>12.48</v>
      </c>
      <c r="G35" s="166">
        <v>7.66</v>
      </c>
      <c r="H35" s="103">
        <f t="shared" si="18"/>
        <v>8</v>
      </c>
      <c r="I35" s="103">
        <v>9</v>
      </c>
      <c r="J35" s="103">
        <f t="shared" si="3"/>
        <v>9.36</v>
      </c>
      <c r="K35" s="166">
        <v>6.44</v>
      </c>
      <c r="L35" s="103">
        <f t="shared" si="20"/>
        <v>7</v>
      </c>
      <c r="M35" s="103">
        <f t="shared" si="21"/>
        <v>8</v>
      </c>
      <c r="N35" s="103">
        <f t="shared" si="5"/>
        <v>8.32</v>
      </c>
      <c r="O35" s="166">
        <v>6.91</v>
      </c>
      <c r="P35" s="103">
        <f t="shared" si="22"/>
        <v>8</v>
      </c>
      <c r="Q35" s="103">
        <f t="shared" si="23"/>
        <v>9</v>
      </c>
      <c r="R35" s="103">
        <f t="shared" si="7"/>
        <v>9.36</v>
      </c>
      <c r="S35" s="166">
        <v>6.41</v>
      </c>
      <c r="T35" s="103">
        <f t="shared" si="24"/>
        <v>7</v>
      </c>
      <c r="U35" s="103">
        <f t="shared" si="25"/>
        <v>8</v>
      </c>
      <c r="V35" s="103">
        <f t="shared" si="10"/>
        <v>8.32</v>
      </c>
    </row>
    <row r="36" spans="1:22" x14ac:dyDescent="0.2">
      <c r="A36" s="62" t="s">
        <v>374</v>
      </c>
      <c r="B36" s="166" t="s">
        <v>32</v>
      </c>
      <c r="C36" s="166">
        <v>9.09</v>
      </c>
      <c r="D36" s="103">
        <f t="shared" si="17"/>
        <v>10</v>
      </c>
      <c r="E36" s="103">
        <v>12</v>
      </c>
      <c r="F36" s="103">
        <f t="shared" si="1"/>
        <v>12.48</v>
      </c>
      <c r="G36" s="166">
        <v>7.66</v>
      </c>
      <c r="H36" s="103">
        <f t="shared" si="18"/>
        <v>8</v>
      </c>
      <c r="I36" s="103">
        <v>9</v>
      </c>
      <c r="J36" s="103">
        <f t="shared" si="3"/>
        <v>9.36</v>
      </c>
      <c r="K36" s="166">
        <v>6.44</v>
      </c>
      <c r="L36" s="103">
        <f t="shared" si="20"/>
        <v>7</v>
      </c>
      <c r="M36" s="103">
        <f t="shared" si="21"/>
        <v>8</v>
      </c>
      <c r="N36" s="103">
        <f t="shared" si="5"/>
        <v>8.32</v>
      </c>
      <c r="O36" s="166">
        <v>6.91</v>
      </c>
      <c r="P36" s="103">
        <f t="shared" si="22"/>
        <v>8</v>
      </c>
      <c r="Q36" s="103">
        <f t="shared" si="23"/>
        <v>9</v>
      </c>
      <c r="R36" s="103">
        <f t="shared" si="7"/>
        <v>9.36</v>
      </c>
      <c r="S36" s="166">
        <v>6.41</v>
      </c>
      <c r="T36" s="103">
        <f t="shared" si="24"/>
        <v>7</v>
      </c>
      <c r="U36" s="103">
        <f t="shared" si="25"/>
        <v>8</v>
      </c>
      <c r="V36" s="103">
        <f t="shared" si="10"/>
        <v>8.32</v>
      </c>
    </row>
    <row r="37" spans="1:22" x14ac:dyDescent="0.2">
      <c r="A37" s="62" t="s">
        <v>375</v>
      </c>
      <c r="B37" s="166" t="s">
        <v>32</v>
      </c>
      <c r="C37" s="166">
        <v>54.52</v>
      </c>
      <c r="D37" s="103">
        <f t="shared" ref="D37:D42" si="26">ROUND(C37*1.1,0)</f>
        <v>60</v>
      </c>
      <c r="E37" s="103">
        <v>69</v>
      </c>
      <c r="F37" s="103">
        <f t="shared" si="1"/>
        <v>71.760000000000005</v>
      </c>
      <c r="G37" s="166">
        <v>45.95</v>
      </c>
      <c r="H37" s="103">
        <f t="shared" ref="H37:H42" si="27">ROUND(G37*1.1,0)</f>
        <v>51</v>
      </c>
      <c r="I37" s="103">
        <v>59</v>
      </c>
      <c r="J37" s="103">
        <f t="shared" si="3"/>
        <v>61.36</v>
      </c>
      <c r="K37" s="166">
        <v>38.61</v>
      </c>
      <c r="L37" s="103">
        <f t="shared" ref="L37:L42" si="28">ROUND(K37*1.1,0)</f>
        <v>42</v>
      </c>
      <c r="M37" s="103">
        <v>48</v>
      </c>
      <c r="N37" s="103">
        <f t="shared" si="5"/>
        <v>49.92</v>
      </c>
      <c r="O37" s="166">
        <v>41.44</v>
      </c>
      <c r="P37" s="103">
        <f t="shared" ref="P37:P42" si="29">ROUND(O37*1.1,0)</f>
        <v>46</v>
      </c>
      <c r="Q37" s="103">
        <v>53</v>
      </c>
      <c r="R37" s="103">
        <f t="shared" si="7"/>
        <v>55.120000000000005</v>
      </c>
      <c r="S37" s="166">
        <v>38.46</v>
      </c>
      <c r="T37" s="103">
        <f t="shared" ref="T37:T42" si="30">ROUND(S37*1.1,0)</f>
        <v>42</v>
      </c>
      <c r="U37" s="103">
        <f t="shared" si="25"/>
        <v>48</v>
      </c>
      <c r="V37" s="103">
        <f t="shared" si="10"/>
        <v>49.92</v>
      </c>
    </row>
    <row r="38" spans="1:22" x14ac:dyDescent="0.2">
      <c r="A38" s="62" t="s">
        <v>376</v>
      </c>
      <c r="B38" s="166" t="s">
        <v>32</v>
      </c>
      <c r="C38" s="166">
        <v>81.77</v>
      </c>
      <c r="D38" s="103">
        <f t="shared" si="26"/>
        <v>90</v>
      </c>
      <c r="E38" s="103">
        <v>104</v>
      </c>
      <c r="F38" s="103">
        <f t="shared" si="1"/>
        <v>108.16</v>
      </c>
      <c r="G38" s="166">
        <v>68.930000000000007</v>
      </c>
      <c r="H38" s="103">
        <f t="shared" si="27"/>
        <v>76</v>
      </c>
      <c r="I38" s="103">
        <v>87</v>
      </c>
      <c r="J38" s="103">
        <f t="shared" si="3"/>
        <v>90.48</v>
      </c>
      <c r="K38" s="166">
        <v>57.92</v>
      </c>
      <c r="L38" s="103">
        <f t="shared" si="28"/>
        <v>64</v>
      </c>
      <c r="M38" s="103">
        <v>74</v>
      </c>
      <c r="N38" s="103">
        <f t="shared" si="5"/>
        <v>76.960000000000008</v>
      </c>
      <c r="O38" s="166">
        <v>62.16</v>
      </c>
      <c r="P38" s="103">
        <f t="shared" si="29"/>
        <v>68</v>
      </c>
      <c r="Q38" s="103">
        <v>78</v>
      </c>
      <c r="R38" s="103">
        <f t="shared" si="7"/>
        <v>81.12</v>
      </c>
      <c r="S38" s="166">
        <v>57.68</v>
      </c>
      <c r="T38" s="103">
        <f t="shared" si="30"/>
        <v>63</v>
      </c>
      <c r="U38" s="103">
        <v>72</v>
      </c>
      <c r="V38" s="103">
        <f t="shared" si="10"/>
        <v>74.88</v>
      </c>
    </row>
    <row r="39" spans="1:22" x14ac:dyDescent="0.2">
      <c r="A39" s="62" t="s">
        <v>377</v>
      </c>
      <c r="B39" s="166" t="s">
        <v>32</v>
      </c>
      <c r="C39" s="166">
        <v>54.52</v>
      </c>
      <c r="D39" s="103">
        <f t="shared" si="26"/>
        <v>60</v>
      </c>
      <c r="E39" s="103">
        <v>69</v>
      </c>
      <c r="F39" s="103">
        <f t="shared" si="1"/>
        <v>71.760000000000005</v>
      </c>
      <c r="G39" s="166">
        <v>45.95</v>
      </c>
      <c r="H39" s="103">
        <f t="shared" si="27"/>
        <v>51</v>
      </c>
      <c r="I39" s="103">
        <v>59</v>
      </c>
      <c r="J39" s="103">
        <f t="shared" si="3"/>
        <v>61.36</v>
      </c>
      <c r="K39" s="166">
        <v>38.61</v>
      </c>
      <c r="L39" s="103">
        <f t="shared" si="28"/>
        <v>42</v>
      </c>
      <c r="M39" s="103">
        <v>48</v>
      </c>
      <c r="N39" s="103">
        <f t="shared" si="5"/>
        <v>49.92</v>
      </c>
      <c r="O39" s="166">
        <v>41.44</v>
      </c>
      <c r="P39" s="103">
        <f t="shared" si="29"/>
        <v>46</v>
      </c>
      <c r="Q39" s="103">
        <v>53</v>
      </c>
      <c r="R39" s="103">
        <f t="shared" si="7"/>
        <v>55.120000000000005</v>
      </c>
      <c r="S39" s="166">
        <v>38.46</v>
      </c>
      <c r="T39" s="103">
        <f t="shared" si="30"/>
        <v>42</v>
      </c>
      <c r="U39" s="103">
        <v>48</v>
      </c>
      <c r="V39" s="103">
        <f t="shared" si="10"/>
        <v>49.92</v>
      </c>
    </row>
    <row r="40" spans="1:22" x14ac:dyDescent="0.2">
      <c r="A40" s="62" t="s">
        <v>378</v>
      </c>
      <c r="B40" s="166" t="s">
        <v>32</v>
      </c>
      <c r="C40" s="166">
        <v>81.77</v>
      </c>
      <c r="D40" s="103">
        <f t="shared" si="26"/>
        <v>90</v>
      </c>
      <c r="E40" s="103">
        <v>104</v>
      </c>
      <c r="F40" s="103">
        <f t="shared" si="1"/>
        <v>108.16</v>
      </c>
      <c r="G40" s="166">
        <v>68.930000000000007</v>
      </c>
      <c r="H40" s="103">
        <f t="shared" si="27"/>
        <v>76</v>
      </c>
      <c r="I40" s="103">
        <v>87</v>
      </c>
      <c r="J40" s="103">
        <f t="shared" si="3"/>
        <v>90.48</v>
      </c>
      <c r="K40" s="166">
        <v>57.92</v>
      </c>
      <c r="L40" s="103">
        <f t="shared" si="28"/>
        <v>64</v>
      </c>
      <c r="M40" s="103">
        <v>74</v>
      </c>
      <c r="N40" s="103">
        <f t="shared" si="5"/>
        <v>76.960000000000008</v>
      </c>
      <c r="O40" s="166">
        <v>62.16</v>
      </c>
      <c r="P40" s="103">
        <f t="shared" si="29"/>
        <v>68</v>
      </c>
      <c r="Q40" s="103">
        <f t="shared" si="23"/>
        <v>78</v>
      </c>
      <c r="R40" s="103">
        <f t="shared" si="7"/>
        <v>81.12</v>
      </c>
      <c r="S40" s="166">
        <v>57.68</v>
      </c>
      <c r="T40" s="103">
        <f t="shared" si="30"/>
        <v>63</v>
      </c>
      <c r="U40" s="103">
        <v>72</v>
      </c>
      <c r="V40" s="103">
        <f t="shared" si="10"/>
        <v>74.88</v>
      </c>
    </row>
    <row r="41" spans="1:22" x14ac:dyDescent="0.2">
      <c r="A41" s="62" t="s">
        <v>379</v>
      </c>
      <c r="B41" s="166" t="s">
        <v>32</v>
      </c>
      <c r="C41" s="166">
        <v>54.52</v>
      </c>
      <c r="D41" s="103">
        <f t="shared" si="26"/>
        <v>60</v>
      </c>
      <c r="E41" s="103">
        <f t="shared" si="13"/>
        <v>69</v>
      </c>
      <c r="F41" s="103">
        <f t="shared" si="1"/>
        <v>71.760000000000005</v>
      </c>
      <c r="G41" s="166">
        <v>45.95</v>
      </c>
      <c r="H41" s="103">
        <f t="shared" si="27"/>
        <v>51</v>
      </c>
      <c r="I41" s="103">
        <v>59</v>
      </c>
      <c r="J41" s="103">
        <f t="shared" si="3"/>
        <v>61.36</v>
      </c>
      <c r="K41" s="166">
        <v>38.61</v>
      </c>
      <c r="L41" s="103">
        <f t="shared" si="28"/>
        <v>42</v>
      </c>
      <c r="M41" s="103">
        <v>48</v>
      </c>
      <c r="N41" s="103">
        <f t="shared" si="5"/>
        <v>49.92</v>
      </c>
      <c r="O41" s="166">
        <v>41.44</v>
      </c>
      <c r="P41" s="103">
        <f t="shared" si="29"/>
        <v>46</v>
      </c>
      <c r="Q41" s="103">
        <f t="shared" si="23"/>
        <v>53</v>
      </c>
      <c r="R41" s="103">
        <f t="shared" si="7"/>
        <v>55.120000000000005</v>
      </c>
      <c r="S41" s="166">
        <v>38.46</v>
      </c>
      <c r="T41" s="103">
        <f t="shared" si="30"/>
        <v>42</v>
      </c>
      <c r="U41" s="103">
        <v>48</v>
      </c>
      <c r="V41" s="103">
        <f t="shared" si="10"/>
        <v>49.92</v>
      </c>
    </row>
    <row r="42" spans="1:22" x14ac:dyDescent="0.2">
      <c r="A42" s="62" t="s">
        <v>380</v>
      </c>
      <c r="B42" s="166" t="s">
        <v>32</v>
      </c>
      <c r="C42" s="166">
        <v>81.77</v>
      </c>
      <c r="D42" s="103">
        <f t="shared" si="26"/>
        <v>90</v>
      </c>
      <c r="E42" s="103">
        <f t="shared" si="13"/>
        <v>104</v>
      </c>
      <c r="F42" s="103">
        <f t="shared" si="1"/>
        <v>108.16</v>
      </c>
      <c r="G42" s="166">
        <v>68.930000000000007</v>
      </c>
      <c r="H42" s="103">
        <f t="shared" si="27"/>
        <v>76</v>
      </c>
      <c r="I42" s="103">
        <v>87</v>
      </c>
      <c r="J42" s="103">
        <f t="shared" si="3"/>
        <v>90.48</v>
      </c>
      <c r="K42" s="166">
        <v>57.92</v>
      </c>
      <c r="L42" s="103">
        <f t="shared" si="28"/>
        <v>64</v>
      </c>
      <c r="M42" s="103">
        <v>74</v>
      </c>
      <c r="N42" s="103">
        <f t="shared" si="5"/>
        <v>76.960000000000008</v>
      </c>
      <c r="O42" s="166">
        <v>62.16</v>
      </c>
      <c r="P42" s="103">
        <f t="shared" si="29"/>
        <v>68</v>
      </c>
      <c r="Q42" s="103">
        <f t="shared" si="23"/>
        <v>78</v>
      </c>
      <c r="R42" s="103">
        <f t="shared" si="7"/>
        <v>81.12</v>
      </c>
      <c r="S42" s="166">
        <v>57.68</v>
      </c>
      <c r="T42" s="103">
        <f t="shared" si="30"/>
        <v>63</v>
      </c>
      <c r="U42" s="103">
        <v>72</v>
      </c>
      <c r="V42" s="103">
        <f t="shared" si="10"/>
        <v>74.88</v>
      </c>
    </row>
    <row r="43" spans="1:22" ht="30" x14ac:dyDescent="0.2">
      <c r="A43" s="62" t="s">
        <v>57</v>
      </c>
      <c r="B43" s="166" t="s">
        <v>32</v>
      </c>
      <c r="C43" s="166">
        <v>242.76</v>
      </c>
      <c r="D43" s="103">
        <f t="shared" si="17"/>
        <v>267</v>
      </c>
      <c r="E43" s="103">
        <v>307</v>
      </c>
      <c r="F43" s="103">
        <f t="shared" si="1"/>
        <v>319.28000000000003</v>
      </c>
      <c r="G43" s="166">
        <v>181.91</v>
      </c>
      <c r="H43" s="103">
        <f t="shared" si="18"/>
        <v>200</v>
      </c>
      <c r="I43" s="103">
        <v>230</v>
      </c>
      <c r="J43" s="103">
        <f t="shared" si="3"/>
        <v>239.20000000000002</v>
      </c>
      <c r="K43" s="166">
        <v>180.71</v>
      </c>
      <c r="L43" s="103">
        <f t="shared" si="20"/>
        <v>199</v>
      </c>
      <c r="M43" s="103">
        <v>229</v>
      </c>
      <c r="N43" s="103">
        <f t="shared" si="5"/>
        <v>238.16</v>
      </c>
      <c r="O43" s="166">
        <v>170.62</v>
      </c>
      <c r="P43" s="103">
        <f t="shared" si="22"/>
        <v>188</v>
      </c>
      <c r="Q43" s="103">
        <v>216</v>
      </c>
      <c r="R43" s="103">
        <f t="shared" si="7"/>
        <v>224.64000000000001</v>
      </c>
      <c r="S43" s="166">
        <v>166.33</v>
      </c>
      <c r="T43" s="103">
        <f t="shared" si="24"/>
        <v>183</v>
      </c>
      <c r="U43" s="103">
        <v>210</v>
      </c>
      <c r="V43" s="103">
        <f t="shared" si="10"/>
        <v>218.4</v>
      </c>
    </row>
    <row r="44" spans="1:22" ht="60" x14ac:dyDescent="0.2">
      <c r="A44" s="62" t="s">
        <v>381</v>
      </c>
      <c r="B44" s="166" t="s">
        <v>32</v>
      </c>
      <c r="C44" s="166">
        <v>72.69</v>
      </c>
      <c r="D44" s="103">
        <f t="shared" si="17"/>
        <v>80</v>
      </c>
      <c r="E44" s="103">
        <v>92</v>
      </c>
      <c r="F44" s="103">
        <f t="shared" si="1"/>
        <v>95.68</v>
      </c>
      <c r="G44" s="166">
        <v>61.27</v>
      </c>
      <c r="H44" s="103">
        <f t="shared" si="18"/>
        <v>67</v>
      </c>
      <c r="I44" s="103">
        <v>77</v>
      </c>
      <c r="J44" s="103">
        <f t="shared" si="3"/>
        <v>80.08</v>
      </c>
      <c r="K44" s="166">
        <v>51.48</v>
      </c>
      <c r="L44" s="103">
        <f t="shared" si="20"/>
        <v>57</v>
      </c>
      <c r="M44" s="103">
        <v>66</v>
      </c>
      <c r="N44" s="103">
        <f t="shared" si="5"/>
        <v>68.64</v>
      </c>
      <c r="O44" s="166">
        <v>55.25</v>
      </c>
      <c r="P44" s="103">
        <f t="shared" si="22"/>
        <v>61</v>
      </c>
      <c r="Q44" s="103">
        <v>70</v>
      </c>
      <c r="R44" s="103">
        <f t="shared" si="7"/>
        <v>72.8</v>
      </c>
      <c r="S44" s="166">
        <v>51.27</v>
      </c>
      <c r="T44" s="103">
        <f t="shared" si="24"/>
        <v>56</v>
      </c>
      <c r="U44" s="103">
        <v>64</v>
      </c>
      <c r="V44" s="103">
        <f t="shared" si="10"/>
        <v>66.56</v>
      </c>
    </row>
    <row r="45" spans="1:22" ht="45" x14ac:dyDescent="0.2">
      <c r="A45" s="62" t="s">
        <v>382</v>
      </c>
      <c r="B45" s="166"/>
      <c r="C45" s="166"/>
      <c r="D45" s="166"/>
      <c r="E45" s="103"/>
      <c r="F45" s="103"/>
      <c r="G45" s="166"/>
      <c r="H45" s="166"/>
      <c r="I45" s="103"/>
      <c r="J45" s="103"/>
      <c r="K45" s="166"/>
      <c r="L45" s="166"/>
      <c r="M45" s="103"/>
      <c r="N45" s="103"/>
      <c r="O45" s="166"/>
      <c r="P45" s="166"/>
      <c r="Q45" s="103"/>
      <c r="R45" s="103"/>
      <c r="S45" s="166"/>
      <c r="T45" s="166"/>
      <c r="U45" s="103"/>
      <c r="V45" s="103"/>
    </row>
    <row r="46" spans="1:22" ht="30" x14ac:dyDescent="0.2">
      <c r="A46" s="62" t="s">
        <v>383</v>
      </c>
      <c r="B46" s="166" t="s">
        <v>32</v>
      </c>
      <c r="C46" s="166">
        <v>9.09</v>
      </c>
      <c r="D46" s="103">
        <f t="shared" ref="D46:D47" si="31">ROUND(C46*1.1,0)</f>
        <v>10</v>
      </c>
      <c r="E46" s="103">
        <f t="shared" si="13"/>
        <v>12</v>
      </c>
      <c r="F46" s="103">
        <f t="shared" si="1"/>
        <v>12.48</v>
      </c>
      <c r="G46" s="166">
        <v>7.66</v>
      </c>
      <c r="H46" s="103">
        <f t="shared" ref="H46:H47" si="32">ROUND(G46*1.1,0)</f>
        <v>8</v>
      </c>
      <c r="I46" s="103">
        <v>9</v>
      </c>
      <c r="J46" s="103">
        <f t="shared" si="3"/>
        <v>9.36</v>
      </c>
      <c r="K46" s="166">
        <v>6.44</v>
      </c>
      <c r="L46" s="103">
        <f t="shared" ref="L46:L47" si="33">ROUND(K46*1.1,0)</f>
        <v>7</v>
      </c>
      <c r="M46" s="103">
        <v>8</v>
      </c>
      <c r="N46" s="103">
        <f t="shared" si="5"/>
        <v>8.32</v>
      </c>
      <c r="O46" s="166">
        <v>6.91</v>
      </c>
      <c r="P46" s="103">
        <f t="shared" ref="P46:P47" si="34">ROUND(O46*1.1,0)</f>
        <v>8</v>
      </c>
      <c r="Q46" s="103">
        <f t="shared" si="23"/>
        <v>9</v>
      </c>
      <c r="R46" s="103">
        <f t="shared" si="7"/>
        <v>9.36</v>
      </c>
      <c r="S46" s="166">
        <v>6.41</v>
      </c>
      <c r="T46" s="103">
        <f t="shared" ref="T46:T47" si="35">ROUND(S46*1.1,0)</f>
        <v>7</v>
      </c>
      <c r="U46" s="103">
        <f t="shared" si="25"/>
        <v>8</v>
      </c>
      <c r="V46" s="103">
        <f t="shared" si="10"/>
        <v>8.32</v>
      </c>
    </row>
    <row r="47" spans="1:22" ht="60" x14ac:dyDescent="0.2">
      <c r="A47" s="62" t="s">
        <v>384</v>
      </c>
      <c r="B47" s="166" t="s">
        <v>32</v>
      </c>
      <c r="C47" s="166">
        <v>36.340000000000003</v>
      </c>
      <c r="D47" s="103">
        <f t="shared" si="31"/>
        <v>40</v>
      </c>
      <c r="E47" s="103">
        <v>46</v>
      </c>
      <c r="F47" s="103">
        <f t="shared" si="1"/>
        <v>47.84</v>
      </c>
      <c r="G47" s="166">
        <v>30.64</v>
      </c>
      <c r="H47" s="103">
        <f t="shared" si="32"/>
        <v>34</v>
      </c>
      <c r="I47" s="103">
        <f t="shared" si="19"/>
        <v>39</v>
      </c>
      <c r="J47" s="103">
        <f t="shared" si="3"/>
        <v>40.56</v>
      </c>
      <c r="K47" s="166">
        <v>25.74</v>
      </c>
      <c r="L47" s="103">
        <f t="shared" si="33"/>
        <v>28</v>
      </c>
      <c r="M47" s="103">
        <v>32</v>
      </c>
      <c r="N47" s="103">
        <f t="shared" si="5"/>
        <v>33.28</v>
      </c>
      <c r="O47" s="166">
        <v>27.63</v>
      </c>
      <c r="P47" s="103">
        <f t="shared" si="34"/>
        <v>30</v>
      </c>
      <c r="Q47" s="103">
        <v>35</v>
      </c>
      <c r="R47" s="103">
        <f t="shared" si="7"/>
        <v>36.4</v>
      </c>
      <c r="S47" s="166">
        <v>25.64</v>
      </c>
      <c r="T47" s="103">
        <f t="shared" si="35"/>
        <v>28</v>
      </c>
      <c r="U47" s="103">
        <v>32</v>
      </c>
      <c r="V47" s="103">
        <f t="shared" si="10"/>
        <v>33.28</v>
      </c>
    </row>
    <row r="48" spans="1:22" ht="45" x14ac:dyDescent="0.2">
      <c r="A48" s="62" t="s">
        <v>385</v>
      </c>
      <c r="B48" s="166"/>
      <c r="C48" s="166"/>
      <c r="D48" s="166"/>
      <c r="E48" s="103"/>
      <c r="F48" s="103"/>
      <c r="G48" s="166"/>
      <c r="H48" s="166"/>
      <c r="I48" s="103"/>
      <c r="J48" s="103"/>
      <c r="K48" s="166"/>
      <c r="L48" s="166"/>
      <c r="M48" s="103"/>
      <c r="N48" s="103"/>
      <c r="O48" s="166"/>
      <c r="P48" s="166"/>
      <c r="Q48" s="103"/>
      <c r="R48" s="103"/>
      <c r="S48" s="166"/>
      <c r="T48" s="166"/>
      <c r="U48" s="103"/>
      <c r="V48" s="103"/>
    </row>
    <row r="49" spans="1:22" x14ac:dyDescent="0.2">
      <c r="A49" s="62" t="s">
        <v>386</v>
      </c>
      <c r="B49" s="166" t="s">
        <v>32</v>
      </c>
      <c r="C49" s="166">
        <v>133.72999999999999</v>
      </c>
      <c r="D49" s="103">
        <f t="shared" ref="D49:D51" si="36">ROUND(C49*1.1,0)</f>
        <v>147</v>
      </c>
      <c r="E49" s="103">
        <v>169</v>
      </c>
      <c r="F49" s="103">
        <f t="shared" si="1"/>
        <v>175.76000000000002</v>
      </c>
      <c r="G49" s="166">
        <v>90</v>
      </c>
      <c r="H49" s="103">
        <f t="shared" ref="H49:H51" si="37">ROUND(G49*1.1,0)</f>
        <v>99</v>
      </c>
      <c r="I49" s="103">
        <v>114</v>
      </c>
      <c r="J49" s="103">
        <f t="shared" si="3"/>
        <v>118.56</v>
      </c>
      <c r="K49" s="166">
        <v>103.49</v>
      </c>
      <c r="L49" s="103">
        <f t="shared" ref="L49:L51" si="38">ROUND(K49*1.1,0)</f>
        <v>114</v>
      </c>
      <c r="M49" s="103">
        <v>131</v>
      </c>
      <c r="N49" s="103">
        <f t="shared" si="5"/>
        <v>136.24</v>
      </c>
      <c r="O49" s="166">
        <v>87.74</v>
      </c>
      <c r="P49" s="103">
        <f t="shared" ref="P49:P51" si="39">ROUND(O49*1.1,0)</f>
        <v>97</v>
      </c>
      <c r="Q49" s="103">
        <v>112</v>
      </c>
      <c r="R49" s="103">
        <f t="shared" si="7"/>
        <v>116.48</v>
      </c>
      <c r="S49" s="166">
        <v>89.42</v>
      </c>
      <c r="T49" s="103">
        <f t="shared" ref="T49:T59" si="40">ROUND(S49*1.1,0)</f>
        <v>98</v>
      </c>
      <c r="U49" s="103">
        <v>113</v>
      </c>
      <c r="V49" s="103">
        <f t="shared" si="10"/>
        <v>117.52000000000001</v>
      </c>
    </row>
    <row r="50" spans="1:22" ht="30" x14ac:dyDescent="0.2">
      <c r="A50" s="62" t="s">
        <v>387</v>
      </c>
      <c r="B50" s="166" t="s">
        <v>32</v>
      </c>
      <c r="C50" s="166">
        <v>109.03</v>
      </c>
      <c r="D50" s="103">
        <f t="shared" si="36"/>
        <v>120</v>
      </c>
      <c r="E50" s="103">
        <v>138</v>
      </c>
      <c r="F50" s="103">
        <f t="shared" si="1"/>
        <v>143.52000000000001</v>
      </c>
      <c r="G50" s="166">
        <v>91.91</v>
      </c>
      <c r="H50" s="103">
        <f t="shared" si="37"/>
        <v>101</v>
      </c>
      <c r="I50" s="103">
        <v>116</v>
      </c>
      <c r="J50" s="103">
        <f t="shared" si="3"/>
        <v>120.64</v>
      </c>
      <c r="K50" s="166">
        <v>77.22</v>
      </c>
      <c r="L50" s="103">
        <f t="shared" si="38"/>
        <v>85</v>
      </c>
      <c r="M50" s="103">
        <v>98</v>
      </c>
      <c r="N50" s="103">
        <f t="shared" si="5"/>
        <v>101.92</v>
      </c>
      <c r="O50" s="166">
        <v>82.89</v>
      </c>
      <c r="P50" s="103">
        <f t="shared" si="39"/>
        <v>91</v>
      </c>
      <c r="Q50" s="103">
        <v>105</v>
      </c>
      <c r="R50" s="103">
        <f t="shared" si="7"/>
        <v>109.2</v>
      </c>
      <c r="S50" s="166">
        <v>76.91</v>
      </c>
      <c r="T50" s="103">
        <f t="shared" si="40"/>
        <v>85</v>
      </c>
      <c r="U50" s="103">
        <v>98</v>
      </c>
      <c r="V50" s="103">
        <f t="shared" si="10"/>
        <v>101.92</v>
      </c>
    </row>
    <row r="51" spans="1:22" ht="60" x14ac:dyDescent="0.2">
      <c r="A51" s="62" t="s">
        <v>388</v>
      </c>
      <c r="B51" s="166" t="s">
        <v>32</v>
      </c>
      <c r="C51" s="166">
        <v>87.8</v>
      </c>
      <c r="D51" s="103">
        <f t="shared" si="36"/>
        <v>97</v>
      </c>
      <c r="E51" s="103">
        <v>112</v>
      </c>
      <c r="F51" s="103">
        <f t="shared" si="1"/>
        <v>116.48</v>
      </c>
      <c r="G51" s="166">
        <v>91.91</v>
      </c>
      <c r="H51" s="103">
        <f t="shared" si="37"/>
        <v>101</v>
      </c>
      <c r="I51" s="103">
        <f t="shared" si="19"/>
        <v>116</v>
      </c>
      <c r="J51" s="103">
        <f t="shared" si="3"/>
        <v>120.64</v>
      </c>
      <c r="K51" s="166">
        <v>70.87</v>
      </c>
      <c r="L51" s="103">
        <f t="shared" si="38"/>
        <v>78</v>
      </c>
      <c r="M51" s="103">
        <v>90</v>
      </c>
      <c r="N51" s="103">
        <f t="shared" si="5"/>
        <v>93.600000000000009</v>
      </c>
      <c r="O51" s="166">
        <v>65.09</v>
      </c>
      <c r="P51" s="103">
        <f t="shared" si="39"/>
        <v>72</v>
      </c>
      <c r="Q51" s="103">
        <v>83</v>
      </c>
      <c r="R51" s="103">
        <f t="shared" si="7"/>
        <v>86.320000000000007</v>
      </c>
      <c r="S51" s="166">
        <v>76.91</v>
      </c>
      <c r="T51" s="103">
        <f t="shared" si="40"/>
        <v>85</v>
      </c>
      <c r="U51" s="103">
        <v>98</v>
      </c>
      <c r="V51" s="103">
        <f t="shared" si="10"/>
        <v>101.92</v>
      </c>
    </row>
    <row r="52" spans="1:22" ht="30" x14ac:dyDescent="0.2">
      <c r="A52" s="62" t="s">
        <v>69</v>
      </c>
      <c r="B52" s="166"/>
      <c r="C52" s="166"/>
      <c r="D52" s="166"/>
      <c r="E52" s="103"/>
      <c r="F52" s="103"/>
      <c r="G52" s="166"/>
      <c r="H52" s="166"/>
      <c r="I52" s="103"/>
      <c r="J52" s="103"/>
      <c r="K52" s="166"/>
      <c r="L52" s="166"/>
      <c r="M52" s="103"/>
      <c r="N52" s="103"/>
      <c r="O52" s="166"/>
      <c r="P52" s="166"/>
      <c r="Q52" s="103"/>
      <c r="R52" s="103"/>
      <c r="S52" s="166"/>
      <c r="T52" s="103"/>
      <c r="U52" s="103"/>
      <c r="V52" s="103"/>
    </row>
    <row r="53" spans="1:22" ht="30" x14ac:dyDescent="0.2">
      <c r="A53" s="62" t="s">
        <v>70</v>
      </c>
      <c r="B53" s="166" t="s">
        <v>32</v>
      </c>
      <c r="C53" s="166">
        <v>72.69</v>
      </c>
      <c r="D53" s="103">
        <f t="shared" ref="D53:D54" si="41">ROUND(C53*1.1,0)</f>
        <v>80</v>
      </c>
      <c r="E53" s="103">
        <v>92</v>
      </c>
      <c r="F53" s="103">
        <f t="shared" si="1"/>
        <v>95.68</v>
      </c>
      <c r="G53" s="166">
        <v>61.27</v>
      </c>
      <c r="H53" s="103">
        <f t="shared" ref="H53:H54" si="42">ROUND(G53*1.1,0)</f>
        <v>67</v>
      </c>
      <c r="I53" s="103">
        <v>77</v>
      </c>
      <c r="J53" s="103">
        <f t="shared" si="3"/>
        <v>80.08</v>
      </c>
      <c r="K53" s="166">
        <v>51.48</v>
      </c>
      <c r="L53" s="103">
        <f t="shared" ref="L53:L54" si="43">ROUND(K53*1.1,0)</f>
        <v>57</v>
      </c>
      <c r="M53" s="103">
        <v>66</v>
      </c>
      <c r="N53" s="103">
        <f t="shared" si="5"/>
        <v>68.64</v>
      </c>
      <c r="O53" s="166">
        <v>55.25</v>
      </c>
      <c r="P53" s="103">
        <f t="shared" ref="P53:P54" si="44">ROUND(O53*1.1,0)</f>
        <v>61</v>
      </c>
      <c r="Q53" s="103">
        <v>70</v>
      </c>
      <c r="R53" s="103">
        <f t="shared" si="7"/>
        <v>72.8</v>
      </c>
      <c r="S53" s="166">
        <v>51.27</v>
      </c>
      <c r="T53" s="103">
        <f t="shared" si="40"/>
        <v>56</v>
      </c>
      <c r="U53" s="103">
        <v>64</v>
      </c>
      <c r="V53" s="103">
        <f t="shared" si="10"/>
        <v>66.56</v>
      </c>
    </row>
    <row r="54" spans="1:22" ht="30" x14ac:dyDescent="0.2">
      <c r="A54" s="62" t="s">
        <v>71</v>
      </c>
      <c r="B54" s="166" t="s">
        <v>32</v>
      </c>
      <c r="C54" s="166">
        <v>36.340000000000003</v>
      </c>
      <c r="D54" s="103">
        <f t="shared" si="41"/>
        <v>40</v>
      </c>
      <c r="E54" s="103">
        <v>46</v>
      </c>
      <c r="F54" s="103">
        <f t="shared" si="1"/>
        <v>47.84</v>
      </c>
      <c r="G54" s="166">
        <v>30.64</v>
      </c>
      <c r="H54" s="103">
        <f t="shared" si="42"/>
        <v>34</v>
      </c>
      <c r="I54" s="103">
        <v>39</v>
      </c>
      <c r="J54" s="103">
        <f t="shared" si="3"/>
        <v>40.56</v>
      </c>
      <c r="K54" s="166">
        <v>25.74</v>
      </c>
      <c r="L54" s="103">
        <f t="shared" si="43"/>
        <v>28</v>
      </c>
      <c r="M54" s="103">
        <v>32</v>
      </c>
      <c r="N54" s="103">
        <f t="shared" si="5"/>
        <v>33.28</v>
      </c>
      <c r="O54" s="166">
        <v>27.63</v>
      </c>
      <c r="P54" s="103">
        <f t="shared" si="44"/>
        <v>30</v>
      </c>
      <c r="Q54" s="103">
        <v>35</v>
      </c>
      <c r="R54" s="103">
        <f t="shared" si="7"/>
        <v>36.4</v>
      </c>
      <c r="S54" s="166">
        <v>25.64</v>
      </c>
      <c r="T54" s="103">
        <f t="shared" si="40"/>
        <v>28</v>
      </c>
      <c r="U54" s="103">
        <v>32</v>
      </c>
      <c r="V54" s="103">
        <f t="shared" si="10"/>
        <v>33.28</v>
      </c>
    </row>
    <row r="55" spans="1:22" ht="45" x14ac:dyDescent="0.2">
      <c r="A55" s="62" t="s">
        <v>735</v>
      </c>
      <c r="B55" s="166"/>
      <c r="C55" s="166"/>
      <c r="D55" s="103"/>
      <c r="E55" s="103"/>
      <c r="F55" s="103"/>
      <c r="G55" s="166"/>
      <c r="H55" s="103"/>
      <c r="I55" s="103"/>
      <c r="J55" s="103"/>
      <c r="K55" s="166"/>
      <c r="L55" s="103"/>
      <c r="M55" s="103"/>
      <c r="N55" s="103"/>
      <c r="O55" s="166"/>
      <c r="P55" s="103"/>
      <c r="Q55" s="103"/>
      <c r="R55" s="103"/>
      <c r="S55" s="166"/>
      <c r="T55" s="103"/>
      <c r="U55" s="103"/>
      <c r="V55" s="103"/>
    </row>
    <row r="56" spans="1:22" ht="75" x14ac:dyDescent="0.2">
      <c r="A56" s="62" t="s">
        <v>736</v>
      </c>
      <c r="B56" s="166" t="s">
        <v>32</v>
      </c>
      <c r="C56" s="166">
        <v>18.170000000000002</v>
      </c>
      <c r="D56" s="103">
        <f>ROUND(C56*1.1,0)</f>
        <v>20</v>
      </c>
      <c r="E56" s="103">
        <v>84</v>
      </c>
      <c r="F56" s="103">
        <f t="shared" si="1"/>
        <v>87.36</v>
      </c>
      <c r="G56" s="166">
        <v>15.31</v>
      </c>
      <c r="H56" s="103">
        <f>ROUND(G56*1.1,0)</f>
        <v>17</v>
      </c>
      <c r="I56" s="103">
        <f>116*0.75</f>
        <v>87</v>
      </c>
      <c r="J56" s="103">
        <f t="shared" si="3"/>
        <v>90.48</v>
      </c>
      <c r="K56" s="166">
        <v>12.87</v>
      </c>
      <c r="L56" s="103">
        <f>ROUND(K56*1.1,0)</f>
        <v>14</v>
      </c>
      <c r="M56" s="103">
        <v>68</v>
      </c>
      <c r="N56" s="103">
        <f t="shared" si="5"/>
        <v>70.72</v>
      </c>
      <c r="O56" s="166">
        <v>13.82</v>
      </c>
      <c r="P56" s="103">
        <f>ROUND(O56*1.1,0)</f>
        <v>15</v>
      </c>
      <c r="Q56" s="103">
        <v>62</v>
      </c>
      <c r="R56" s="103">
        <f t="shared" si="7"/>
        <v>64.48</v>
      </c>
      <c r="S56" s="166">
        <v>12.82</v>
      </c>
      <c r="T56" s="103">
        <f>ROUND(S56*1.1,0)</f>
        <v>14</v>
      </c>
      <c r="U56" s="103">
        <v>74</v>
      </c>
      <c r="V56" s="103">
        <f t="shared" si="10"/>
        <v>76.960000000000008</v>
      </c>
    </row>
    <row r="57" spans="1:22" ht="45" x14ac:dyDescent="0.2">
      <c r="A57" s="62" t="s">
        <v>392</v>
      </c>
      <c r="B57" s="166" t="s">
        <v>32</v>
      </c>
      <c r="C57" s="166">
        <v>18.170000000000002</v>
      </c>
      <c r="D57" s="103">
        <f t="shared" ref="D57" si="45">ROUND(C57*1.1,0)</f>
        <v>20</v>
      </c>
      <c r="E57" s="103">
        <v>28</v>
      </c>
      <c r="F57" s="103">
        <f t="shared" si="1"/>
        <v>29.12</v>
      </c>
      <c r="G57" s="166">
        <v>15.31</v>
      </c>
      <c r="H57" s="103">
        <f t="shared" ref="H57" si="46">ROUND(G57*1.1,0)</f>
        <v>17</v>
      </c>
      <c r="I57" s="103">
        <v>29</v>
      </c>
      <c r="J57" s="103">
        <f t="shared" si="3"/>
        <v>30.16</v>
      </c>
      <c r="K57" s="166">
        <v>12.87</v>
      </c>
      <c r="L57" s="103">
        <f t="shared" ref="L57" si="47">ROUND(K57*1.1,0)</f>
        <v>14</v>
      </c>
      <c r="M57" s="103">
        <v>23</v>
      </c>
      <c r="N57" s="103">
        <f t="shared" si="5"/>
        <v>23.92</v>
      </c>
      <c r="O57" s="166">
        <v>13.82</v>
      </c>
      <c r="P57" s="103">
        <f t="shared" ref="P57" si="48">ROUND(O57*1.1,0)</f>
        <v>15</v>
      </c>
      <c r="Q57" s="103">
        <v>21</v>
      </c>
      <c r="R57" s="103">
        <f t="shared" si="7"/>
        <v>21.84</v>
      </c>
      <c r="S57" s="166">
        <v>12.82</v>
      </c>
      <c r="T57" s="103">
        <f t="shared" ref="T57" si="49">ROUND(S57*1.1,0)</f>
        <v>14</v>
      </c>
      <c r="U57" s="103">
        <v>25</v>
      </c>
      <c r="V57" s="103">
        <f t="shared" si="10"/>
        <v>26</v>
      </c>
    </row>
    <row r="58" spans="1:22" ht="30" x14ac:dyDescent="0.2">
      <c r="A58" s="62" t="s">
        <v>389</v>
      </c>
      <c r="B58" s="166" t="s">
        <v>32</v>
      </c>
      <c r="C58" s="48">
        <v>109.03</v>
      </c>
      <c r="D58" s="103">
        <f t="shared" ref="D58" si="50">ROUND(C58*1.1,0)</f>
        <v>120</v>
      </c>
      <c r="E58" s="103">
        <v>138</v>
      </c>
      <c r="F58" s="103">
        <f t="shared" si="1"/>
        <v>143.52000000000001</v>
      </c>
      <c r="G58" s="166">
        <v>91.91</v>
      </c>
      <c r="H58" s="103">
        <f t="shared" ref="H58" si="51">ROUND(G58*1.1,0)</f>
        <v>101</v>
      </c>
      <c r="I58" s="103">
        <v>116</v>
      </c>
      <c r="J58" s="103">
        <f t="shared" si="3"/>
        <v>120.64</v>
      </c>
      <c r="K58" s="166">
        <v>77.22</v>
      </c>
      <c r="L58" s="103">
        <f t="shared" ref="L58" si="52">ROUND(K58*1.1,0)</f>
        <v>85</v>
      </c>
      <c r="M58" s="103">
        <v>98</v>
      </c>
      <c r="N58" s="103">
        <f t="shared" si="5"/>
        <v>101.92</v>
      </c>
      <c r="O58" s="166">
        <v>82.89</v>
      </c>
      <c r="P58" s="103">
        <f t="shared" ref="P58" si="53">ROUND(O58*1.1,0)</f>
        <v>91</v>
      </c>
      <c r="Q58" s="103">
        <v>105</v>
      </c>
      <c r="R58" s="103">
        <f t="shared" si="7"/>
        <v>109.2</v>
      </c>
      <c r="S58" s="166">
        <v>76.91</v>
      </c>
      <c r="T58" s="103">
        <f t="shared" si="40"/>
        <v>85</v>
      </c>
      <c r="U58" s="103">
        <f t="shared" ref="U58" si="54">ROUND(T58*1.15,0)</f>
        <v>98</v>
      </c>
      <c r="V58" s="103">
        <f t="shared" si="10"/>
        <v>101.92</v>
      </c>
    </row>
    <row r="59" spans="1:22" ht="45" x14ac:dyDescent="0.2">
      <c r="A59" s="62" t="s">
        <v>76</v>
      </c>
      <c r="B59" s="166" t="s">
        <v>32</v>
      </c>
      <c r="C59" s="166">
        <v>109.03</v>
      </c>
      <c r="D59" s="103">
        <f t="shared" ref="D59" si="55">ROUND(C59*1.1,0)</f>
        <v>120</v>
      </c>
      <c r="E59" s="103">
        <v>138</v>
      </c>
      <c r="F59" s="103">
        <f t="shared" si="1"/>
        <v>143.52000000000001</v>
      </c>
      <c r="G59" s="166">
        <v>91.91</v>
      </c>
      <c r="H59" s="103">
        <f t="shared" ref="H59" si="56">ROUND(G59*1.1,0)</f>
        <v>101</v>
      </c>
      <c r="I59" s="103">
        <v>116</v>
      </c>
      <c r="J59" s="103">
        <f t="shared" si="3"/>
        <v>120.64</v>
      </c>
      <c r="K59" s="166">
        <v>77.22</v>
      </c>
      <c r="L59" s="103">
        <f t="shared" ref="L59" si="57">ROUND(K59*1.1,0)</f>
        <v>85</v>
      </c>
      <c r="M59" s="103">
        <v>98</v>
      </c>
      <c r="N59" s="103">
        <f t="shared" si="5"/>
        <v>101.92</v>
      </c>
      <c r="O59" s="166">
        <v>82.89</v>
      </c>
      <c r="P59" s="103">
        <f t="shared" ref="P59" si="58">ROUND(O59*1.1,0)</f>
        <v>91</v>
      </c>
      <c r="Q59" s="103">
        <v>105</v>
      </c>
      <c r="R59" s="103">
        <f t="shared" si="7"/>
        <v>109.2</v>
      </c>
      <c r="S59" s="166">
        <v>76.91</v>
      </c>
      <c r="T59" s="103">
        <f t="shared" si="40"/>
        <v>85</v>
      </c>
      <c r="U59" s="103">
        <v>98</v>
      </c>
      <c r="V59" s="103">
        <f t="shared" si="10"/>
        <v>101.92</v>
      </c>
    </row>
    <row r="60" spans="1:22" x14ac:dyDescent="0.2">
      <c r="A60" s="62" t="s">
        <v>79</v>
      </c>
      <c r="B60" s="166" t="s">
        <v>32</v>
      </c>
      <c r="C60" s="166">
        <v>72.69</v>
      </c>
      <c r="D60" s="103">
        <f>ROUND(C60*1.1,0)</f>
        <v>80</v>
      </c>
      <c r="E60" s="103">
        <v>92</v>
      </c>
      <c r="F60" s="103">
        <f t="shared" si="1"/>
        <v>95.68</v>
      </c>
      <c r="G60" s="166">
        <v>61.27</v>
      </c>
      <c r="H60" s="103">
        <f>ROUND(G60*1.1,0)</f>
        <v>67</v>
      </c>
      <c r="I60" s="103">
        <v>77</v>
      </c>
      <c r="J60" s="103">
        <f t="shared" si="3"/>
        <v>80.08</v>
      </c>
      <c r="K60" s="166">
        <v>51.48</v>
      </c>
      <c r="L60" s="103">
        <f>ROUND(K60*1.1,0)</f>
        <v>57</v>
      </c>
      <c r="M60" s="103">
        <v>66</v>
      </c>
      <c r="N60" s="103">
        <f t="shared" si="5"/>
        <v>68.64</v>
      </c>
      <c r="O60" s="166">
        <v>55.25</v>
      </c>
      <c r="P60" s="103">
        <f>ROUND(O60*1.1,0)</f>
        <v>61</v>
      </c>
      <c r="Q60" s="103">
        <v>70</v>
      </c>
      <c r="R60" s="103">
        <f t="shared" si="7"/>
        <v>72.8</v>
      </c>
      <c r="S60" s="166">
        <v>51.27</v>
      </c>
      <c r="T60" s="103">
        <f>ROUND(S60*1.1,0)</f>
        <v>56</v>
      </c>
      <c r="U60" s="103">
        <v>64</v>
      </c>
      <c r="V60" s="103">
        <f t="shared" si="10"/>
        <v>66.56</v>
      </c>
    </row>
    <row r="61" spans="1:22" x14ac:dyDescent="0.2">
      <c r="A61" s="62" t="s">
        <v>80</v>
      </c>
      <c r="B61" s="166" t="s">
        <v>32</v>
      </c>
      <c r="C61" s="166">
        <v>6.03</v>
      </c>
      <c r="D61" s="103">
        <f>ROUND(C61*1.1,0)</f>
        <v>7</v>
      </c>
      <c r="E61" s="103">
        <v>8</v>
      </c>
      <c r="F61" s="103">
        <f t="shared" si="1"/>
        <v>8.32</v>
      </c>
      <c r="G61" s="166">
        <v>5.0999999999999996</v>
      </c>
      <c r="H61" s="103">
        <f>ROUND(G61*1.1,0)</f>
        <v>6</v>
      </c>
      <c r="I61" s="103">
        <v>7</v>
      </c>
      <c r="J61" s="103">
        <f t="shared" si="3"/>
        <v>7.28</v>
      </c>
      <c r="K61" s="166">
        <v>4.29</v>
      </c>
      <c r="L61" s="103">
        <f>ROUND(K61*1.1,0)</f>
        <v>5</v>
      </c>
      <c r="M61" s="103">
        <v>6</v>
      </c>
      <c r="N61" s="103">
        <f t="shared" si="5"/>
        <v>6.24</v>
      </c>
      <c r="O61" s="166">
        <v>4.5999999999999996</v>
      </c>
      <c r="P61" s="103">
        <f>ROUND(O61*1.1,0)</f>
        <v>5</v>
      </c>
      <c r="Q61" s="103">
        <f t="shared" ref="Q61:Q68" si="59">ROUND(P61*1.15,0)</f>
        <v>6</v>
      </c>
      <c r="R61" s="103">
        <f t="shared" si="7"/>
        <v>6.24</v>
      </c>
      <c r="S61" s="166">
        <v>4.2699999999999996</v>
      </c>
      <c r="T61" s="103">
        <f>ROUND(S61*1.1,0)</f>
        <v>5</v>
      </c>
      <c r="U61" s="103">
        <f t="shared" ref="U61:U63" si="60">ROUND(T61*1.15,0)</f>
        <v>6</v>
      </c>
      <c r="V61" s="103">
        <f t="shared" si="10"/>
        <v>6.24</v>
      </c>
    </row>
    <row r="62" spans="1:22" x14ac:dyDescent="0.2">
      <c r="A62" s="62" t="s">
        <v>81</v>
      </c>
      <c r="B62" s="166" t="s">
        <v>32</v>
      </c>
      <c r="C62" s="166">
        <v>6.04</v>
      </c>
      <c r="D62" s="103">
        <f>ROUND(C62*1.1,0)</f>
        <v>7</v>
      </c>
      <c r="E62" s="103">
        <v>8</v>
      </c>
      <c r="F62" s="103">
        <f t="shared" si="1"/>
        <v>8.32</v>
      </c>
      <c r="G62" s="166">
        <v>5.0999999999999996</v>
      </c>
      <c r="H62" s="103">
        <f>ROUND(G62*1.1,0)</f>
        <v>6</v>
      </c>
      <c r="I62" s="103">
        <f t="shared" ref="I62:I68" si="61">ROUND(H62*1.15,0)</f>
        <v>7</v>
      </c>
      <c r="J62" s="103">
        <f t="shared" si="3"/>
        <v>7.28</v>
      </c>
      <c r="K62" s="166">
        <v>4.29</v>
      </c>
      <c r="L62" s="103">
        <f>ROUND(K62*1.1,0)</f>
        <v>5</v>
      </c>
      <c r="M62" s="103">
        <f t="shared" ref="M62:M68" si="62">ROUND(L62*1.15,0)</f>
        <v>6</v>
      </c>
      <c r="N62" s="103">
        <f t="shared" si="5"/>
        <v>6.24</v>
      </c>
      <c r="O62" s="166">
        <v>4.6100000000000003</v>
      </c>
      <c r="P62" s="103">
        <f>ROUND(O62*1.1,0)</f>
        <v>5</v>
      </c>
      <c r="Q62" s="103">
        <f t="shared" si="59"/>
        <v>6</v>
      </c>
      <c r="R62" s="103">
        <f t="shared" si="7"/>
        <v>6.24</v>
      </c>
      <c r="S62" s="166">
        <v>4.28</v>
      </c>
      <c r="T62" s="103">
        <f>ROUND(S62*1.1,0)</f>
        <v>5</v>
      </c>
      <c r="U62" s="103">
        <f t="shared" si="60"/>
        <v>6</v>
      </c>
      <c r="V62" s="103">
        <f t="shared" si="10"/>
        <v>6.24</v>
      </c>
    </row>
    <row r="63" spans="1:22" ht="30" x14ac:dyDescent="0.2">
      <c r="A63" s="62" t="s">
        <v>390</v>
      </c>
      <c r="B63" s="166" t="s">
        <v>32</v>
      </c>
      <c r="C63" s="166">
        <v>18.170000000000002</v>
      </c>
      <c r="D63" s="103">
        <f>ROUND(C63*1.1,0)</f>
        <v>20</v>
      </c>
      <c r="E63" s="103">
        <v>23</v>
      </c>
      <c r="F63" s="103">
        <f t="shared" si="1"/>
        <v>23.92</v>
      </c>
      <c r="G63" s="166">
        <v>15.31</v>
      </c>
      <c r="H63" s="103">
        <f>ROUND(G63*1.1,0)</f>
        <v>17</v>
      </c>
      <c r="I63" s="103">
        <f t="shared" si="61"/>
        <v>20</v>
      </c>
      <c r="J63" s="103">
        <f t="shared" si="3"/>
        <v>20.8</v>
      </c>
      <c r="K63" s="166">
        <v>12.87</v>
      </c>
      <c r="L63" s="103">
        <f>ROUND(K63*1.1,0)</f>
        <v>14</v>
      </c>
      <c r="M63" s="103">
        <v>16</v>
      </c>
      <c r="N63" s="103">
        <f t="shared" si="5"/>
        <v>16.64</v>
      </c>
      <c r="O63" s="166">
        <v>13.82</v>
      </c>
      <c r="P63" s="103">
        <f>ROUND(O63*1.1,0)</f>
        <v>15</v>
      </c>
      <c r="Q63" s="103">
        <v>17</v>
      </c>
      <c r="R63" s="103">
        <f t="shared" si="7"/>
        <v>17.68</v>
      </c>
      <c r="S63" s="166">
        <v>12.82</v>
      </c>
      <c r="T63" s="103">
        <f>ROUND(S63*1.1,0)</f>
        <v>14</v>
      </c>
      <c r="U63" s="103">
        <f t="shared" si="60"/>
        <v>16</v>
      </c>
      <c r="V63" s="103">
        <f t="shared" si="10"/>
        <v>16.64</v>
      </c>
    </row>
    <row r="64" spans="1:22" x14ac:dyDescent="0.2">
      <c r="A64" s="62" t="s">
        <v>83</v>
      </c>
      <c r="B64" s="166" t="s">
        <v>32</v>
      </c>
      <c r="C64" s="166">
        <v>24.28</v>
      </c>
      <c r="D64" s="103">
        <f>ROUND(C64*1.1,0)</f>
        <v>27</v>
      </c>
      <c r="E64" s="103">
        <v>31</v>
      </c>
      <c r="F64" s="103">
        <f t="shared" si="1"/>
        <v>32.24</v>
      </c>
      <c r="G64" s="166">
        <v>20.43</v>
      </c>
      <c r="H64" s="103">
        <f>ROUND(G64*1.1,0)</f>
        <v>22</v>
      </c>
      <c r="I64" s="103">
        <v>25</v>
      </c>
      <c r="J64" s="103">
        <f t="shared" si="3"/>
        <v>26</v>
      </c>
      <c r="K64" s="166">
        <v>17.16</v>
      </c>
      <c r="L64" s="103">
        <f>ROUND(K64*1.1,0)</f>
        <v>19</v>
      </c>
      <c r="M64" s="103">
        <v>22</v>
      </c>
      <c r="N64" s="103">
        <f t="shared" si="5"/>
        <v>22.880000000000003</v>
      </c>
      <c r="O64" s="166">
        <v>18.43</v>
      </c>
      <c r="P64" s="103">
        <f>ROUND(O64*1.1,0)</f>
        <v>20</v>
      </c>
      <c r="Q64" s="103">
        <v>23</v>
      </c>
      <c r="R64" s="103">
        <f t="shared" si="7"/>
        <v>23.92</v>
      </c>
      <c r="S64" s="166">
        <v>17.09</v>
      </c>
      <c r="T64" s="103">
        <f>ROUND(S64*1.1,0)</f>
        <v>19</v>
      </c>
      <c r="U64" s="103">
        <v>22</v>
      </c>
      <c r="V64" s="103">
        <f t="shared" si="10"/>
        <v>22.880000000000003</v>
      </c>
    </row>
    <row r="65" spans="1:22" x14ac:dyDescent="0.2">
      <c r="A65" s="62" t="s">
        <v>86</v>
      </c>
      <c r="B65" s="166"/>
      <c r="C65" s="166"/>
      <c r="D65" s="166"/>
      <c r="E65" s="103"/>
      <c r="F65" s="103"/>
      <c r="G65" s="166"/>
      <c r="H65" s="166"/>
      <c r="I65" s="103"/>
      <c r="J65" s="103"/>
      <c r="K65" s="166"/>
      <c r="L65" s="166"/>
      <c r="M65" s="103"/>
      <c r="N65" s="103"/>
      <c r="O65" s="166"/>
      <c r="P65" s="166"/>
      <c r="Q65" s="103"/>
      <c r="R65" s="103"/>
      <c r="S65" s="166"/>
      <c r="T65" s="166"/>
      <c r="U65" s="103"/>
      <c r="V65" s="103"/>
    </row>
    <row r="66" spans="1:22" x14ac:dyDescent="0.2">
      <c r="A66" s="62" t="s">
        <v>362</v>
      </c>
      <c r="B66" s="166" t="s">
        <v>88</v>
      </c>
      <c r="C66" s="166">
        <v>27.26</v>
      </c>
      <c r="D66" s="103">
        <f>ROUND(C66*1.1/3,0)</f>
        <v>10</v>
      </c>
      <c r="E66" s="103">
        <v>12</v>
      </c>
      <c r="F66" s="103">
        <f t="shared" si="1"/>
        <v>12.48</v>
      </c>
      <c r="G66" s="166">
        <v>22.98</v>
      </c>
      <c r="H66" s="103">
        <f>ROUND(G66*1.1/3,0)</f>
        <v>8</v>
      </c>
      <c r="I66" s="103">
        <f t="shared" si="61"/>
        <v>9</v>
      </c>
      <c r="J66" s="103">
        <f t="shared" si="3"/>
        <v>9.36</v>
      </c>
      <c r="K66" s="166">
        <v>19.309999999999999</v>
      </c>
      <c r="L66" s="103">
        <f>ROUND(K66*1.1/3,0)</f>
        <v>7</v>
      </c>
      <c r="M66" s="103">
        <f t="shared" si="62"/>
        <v>8</v>
      </c>
      <c r="N66" s="103">
        <f t="shared" si="5"/>
        <v>8.32</v>
      </c>
      <c r="O66" s="166">
        <v>20.75</v>
      </c>
      <c r="P66" s="103">
        <f>ROUND(O66*1.1/3,0)</f>
        <v>8</v>
      </c>
      <c r="Q66" s="103">
        <f t="shared" si="59"/>
        <v>9</v>
      </c>
      <c r="R66" s="103">
        <f t="shared" si="7"/>
        <v>9.36</v>
      </c>
      <c r="S66" s="166">
        <v>19.23</v>
      </c>
      <c r="T66" s="103">
        <f>ROUND(S66*1.1/3,0)</f>
        <v>7</v>
      </c>
      <c r="U66" s="103">
        <v>8</v>
      </c>
      <c r="V66" s="103">
        <f t="shared" si="10"/>
        <v>8.32</v>
      </c>
    </row>
    <row r="67" spans="1:22" x14ac:dyDescent="0.2">
      <c r="A67" s="62" t="s">
        <v>363</v>
      </c>
      <c r="B67" s="166" t="s">
        <v>88</v>
      </c>
      <c r="C67" s="166">
        <v>54.52</v>
      </c>
      <c r="D67" s="103">
        <f>ROUND(C67*1.1,0)</f>
        <v>60</v>
      </c>
      <c r="E67" s="103">
        <v>69</v>
      </c>
      <c r="F67" s="103">
        <f t="shared" si="1"/>
        <v>71.760000000000005</v>
      </c>
      <c r="G67" s="166">
        <v>45.95</v>
      </c>
      <c r="H67" s="103">
        <f>ROUND(G67*1.1,0)</f>
        <v>51</v>
      </c>
      <c r="I67" s="103">
        <v>59</v>
      </c>
      <c r="J67" s="103">
        <f t="shared" si="3"/>
        <v>61.36</v>
      </c>
      <c r="K67" s="166">
        <v>38.61</v>
      </c>
      <c r="L67" s="103">
        <f>ROUND(K67*1.1,0)</f>
        <v>42</v>
      </c>
      <c r="M67" s="103">
        <v>48</v>
      </c>
      <c r="N67" s="103">
        <f t="shared" si="5"/>
        <v>49.92</v>
      </c>
      <c r="O67" s="166">
        <v>41.44</v>
      </c>
      <c r="P67" s="103">
        <f>ROUND(O67*1.1,0)</f>
        <v>46</v>
      </c>
      <c r="Q67" s="103">
        <v>53</v>
      </c>
      <c r="R67" s="103">
        <f t="shared" si="7"/>
        <v>55.120000000000005</v>
      </c>
      <c r="S67" s="166">
        <v>38.46</v>
      </c>
      <c r="T67" s="103">
        <f>ROUND(S67*1.1,0)</f>
        <v>42</v>
      </c>
      <c r="U67" s="103">
        <v>48</v>
      </c>
      <c r="V67" s="103">
        <f t="shared" si="10"/>
        <v>49.92</v>
      </c>
    </row>
    <row r="68" spans="1:22" ht="30" x14ac:dyDescent="0.2">
      <c r="A68" s="62" t="s">
        <v>364</v>
      </c>
      <c r="B68" s="166" t="s">
        <v>88</v>
      </c>
      <c r="C68" s="166">
        <v>27.26</v>
      </c>
      <c r="D68" s="103">
        <f>ROUND(C68*1.1/3,0)</f>
        <v>10</v>
      </c>
      <c r="E68" s="103">
        <v>12</v>
      </c>
      <c r="F68" s="103">
        <f t="shared" si="1"/>
        <v>12.48</v>
      </c>
      <c r="G68" s="166">
        <v>22.98</v>
      </c>
      <c r="H68" s="103">
        <f>ROUND(G68*1.1/3,0)</f>
        <v>8</v>
      </c>
      <c r="I68" s="103">
        <f t="shared" si="61"/>
        <v>9</v>
      </c>
      <c r="J68" s="103">
        <f t="shared" si="3"/>
        <v>9.36</v>
      </c>
      <c r="K68" s="166">
        <v>19.309999999999999</v>
      </c>
      <c r="L68" s="103">
        <f>ROUND(K68*1.1/3,0)</f>
        <v>7</v>
      </c>
      <c r="M68" s="103">
        <f t="shared" si="62"/>
        <v>8</v>
      </c>
      <c r="N68" s="103">
        <f t="shared" si="5"/>
        <v>8.32</v>
      </c>
      <c r="O68" s="166">
        <v>20.75</v>
      </c>
      <c r="P68" s="103">
        <f>ROUND(O68*1.1/3,0)</f>
        <v>8</v>
      </c>
      <c r="Q68" s="103">
        <f t="shared" si="59"/>
        <v>9</v>
      </c>
      <c r="R68" s="103">
        <f t="shared" si="7"/>
        <v>9.36</v>
      </c>
      <c r="S68" s="166">
        <v>19.23</v>
      </c>
      <c r="T68" s="103">
        <f>ROUND(S68*1.1/3,0)</f>
        <v>7</v>
      </c>
      <c r="U68" s="103">
        <v>8</v>
      </c>
      <c r="V68" s="103">
        <f t="shared" si="10"/>
        <v>8.32</v>
      </c>
    </row>
    <row r="69" spans="1:22" ht="45" x14ac:dyDescent="0.2">
      <c r="A69" s="62" t="s">
        <v>391</v>
      </c>
      <c r="B69" s="166" t="s">
        <v>32</v>
      </c>
      <c r="C69" s="166">
        <v>27.26</v>
      </c>
      <c r="D69" s="103">
        <f t="shared" ref="D69" si="63">ROUND(C69*1.1,0)</f>
        <v>30</v>
      </c>
      <c r="E69" s="103">
        <v>35</v>
      </c>
      <c r="F69" s="103">
        <f t="shared" si="1"/>
        <v>36.4</v>
      </c>
      <c r="G69" s="166">
        <v>22.98</v>
      </c>
      <c r="H69" s="103">
        <f t="shared" ref="H69" si="64">ROUND(G69*1.1,0)</f>
        <v>25</v>
      </c>
      <c r="I69" s="103">
        <v>29</v>
      </c>
      <c r="J69" s="103">
        <f t="shared" si="3"/>
        <v>30.16</v>
      </c>
      <c r="K69" s="166">
        <v>19.309999999999999</v>
      </c>
      <c r="L69" s="103">
        <f t="shared" ref="L69" si="65">ROUND(K69*1.1,0)</f>
        <v>21</v>
      </c>
      <c r="M69" s="103">
        <v>24</v>
      </c>
      <c r="N69" s="103">
        <f t="shared" si="5"/>
        <v>24.96</v>
      </c>
      <c r="O69" s="166">
        <v>20.72</v>
      </c>
      <c r="P69" s="103">
        <f t="shared" ref="P69" si="66">ROUND(O69*1.1,0)</f>
        <v>23</v>
      </c>
      <c r="Q69" s="103">
        <v>26</v>
      </c>
      <c r="R69" s="103">
        <f t="shared" si="7"/>
        <v>27.04</v>
      </c>
      <c r="S69" s="166">
        <v>19.23</v>
      </c>
      <c r="T69" s="103">
        <f t="shared" ref="T69" si="67">ROUND(S69*1.1,0)</f>
        <v>21</v>
      </c>
      <c r="U69" s="103">
        <v>24</v>
      </c>
      <c r="V69" s="103">
        <f t="shared" si="10"/>
        <v>24.96</v>
      </c>
    </row>
    <row r="70" spans="1:22" ht="51" customHeight="1" x14ac:dyDescent="0.2">
      <c r="A70" s="62" t="s">
        <v>622</v>
      </c>
      <c r="B70" s="166" t="s">
        <v>32</v>
      </c>
      <c r="C70" s="166">
        <v>218.06</v>
      </c>
      <c r="D70" s="103">
        <f>ROUND(C70*1.1,0)</f>
        <v>240</v>
      </c>
      <c r="E70" s="103">
        <v>276</v>
      </c>
      <c r="F70" s="103">
        <f t="shared" si="1"/>
        <v>287.04000000000002</v>
      </c>
      <c r="G70" s="166">
        <v>183.81</v>
      </c>
      <c r="H70" s="103">
        <f>ROUND(G70*1.1,0)</f>
        <v>202</v>
      </c>
      <c r="I70" s="103">
        <v>232</v>
      </c>
      <c r="J70" s="103">
        <f t="shared" si="3"/>
        <v>241.28</v>
      </c>
      <c r="K70" s="166">
        <v>154.44</v>
      </c>
      <c r="L70" s="103">
        <f>ROUND(K70*1.1,0)</f>
        <v>170</v>
      </c>
      <c r="M70" s="103">
        <v>196</v>
      </c>
      <c r="N70" s="103">
        <f t="shared" si="5"/>
        <v>203.84</v>
      </c>
      <c r="O70" s="166">
        <v>165.76</v>
      </c>
      <c r="P70" s="103">
        <f>ROUND(O70*1.1,0)</f>
        <v>182</v>
      </c>
      <c r="Q70" s="103">
        <v>209</v>
      </c>
      <c r="R70" s="103">
        <f t="shared" si="7"/>
        <v>217.36</v>
      </c>
      <c r="S70" s="166">
        <v>153.82</v>
      </c>
      <c r="T70" s="103">
        <f>ROUND(S70*1.1,0)</f>
        <v>169</v>
      </c>
      <c r="U70" s="103">
        <v>194</v>
      </c>
      <c r="V70" s="103">
        <f t="shared" si="10"/>
        <v>201.76000000000002</v>
      </c>
    </row>
    <row r="71" spans="1:22" s="157" customFormat="1" ht="37.5" customHeight="1" x14ac:dyDescent="0.25">
      <c r="A71" s="145" t="s">
        <v>758</v>
      </c>
      <c r="B71" s="156" t="s">
        <v>757</v>
      </c>
      <c r="C71" s="156"/>
      <c r="D71" s="156"/>
      <c r="E71" s="156">
        <v>256</v>
      </c>
      <c r="F71" s="103">
        <f t="shared" si="1"/>
        <v>266.24</v>
      </c>
      <c r="G71" s="156"/>
      <c r="H71" s="156"/>
      <c r="I71" s="156">
        <v>215</v>
      </c>
      <c r="J71" s="103">
        <f t="shared" si="3"/>
        <v>223.6</v>
      </c>
      <c r="K71" s="156"/>
      <c r="L71" s="156"/>
      <c r="M71" s="156">
        <v>182</v>
      </c>
      <c r="N71" s="103">
        <f t="shared" si="5"/>
        <v>189.28</v>
      </c>
      <c r="O71" s="156"/>
      <c r="P71" s="156"/>
      <c r="Q71" s="156">
        <v>194</v>
      </c>
      <c r="R71" s="103">
        <f t="shared" si="7"/>
        <v>201.76000000000002</v>
      </c>
      <c r="S71" s="156"/>
      <c r="T71" s="156"/>
      <c r="U71" s="156">
        <v>180</v>
      </c>
      <c r="V71" s="103">
        <f t="shared" si="10"/>
        <v>187.20000000000002</v>
      </c>
    </row>
    <row r="72" spans="1:22" s="87" customFormat="1" ht="45.75" customHeight="1" x14ac:dyDescent="0.2">
      <c r="A72" s="145" t="s">
        <v>759</v>
      </c>
      <c r="B72" s="156" t="s">
        <v>757</v>
      </c>
      <c r="C72" s="182"/>
      <c r="D72" s="182"/>
      <c r="E72" s="156">
        <v>283</v>
      </c>
      <c r="F72" s="103">
        <f t="shared" si="1"/>
        <v>294.32</v>
      </c>
      <c r="G72" s="156"/>
      <c r="H72" s="156"/>
      <c r="I72" s="156">
        <v>238</v>
      </c>
      <c r="J72" s="103">
        <f t="shared" si="3"/>
        <v>247.52</v>
      </c>
      <c r="K72" s="156"/>
      <c r="L72" s="156"/>
      <c r="M72" s="156">
        <v>201</v>
      </c>
      <c r="N72" s="103">
        <f>M72*1.04</f>
        <v>209.04000000000002</v>
      </c>
      <c r="O72" s="156"/>
      <c r="P72" s="156"/>
      <c r="Q72" s="156">
        <v>214</v>
      </c>
      <c r="R72" s="103">
        <f t="shared" si="7"/>
        <v>222.56</v>
      </c>
      <c r="S72" s="156"/>
      <c r="T72" s="156"/>
      <c r="U72" s="183">
        <v>199</v>
      </c>
      <c r="V72" s="103">
        <f t="shared" si="10"/>
        <v>206.96</v>
      </c>
    </row>
  </sheetData>
  <mergeCells count="25">
    <mergeCell ref="U10:U11"/>
    <mergeCell ref="J10:J11"/>
    <mergeCell ref="N10:N11"/>
    <mergeCell ref="T10:T11"/>
    <mergeCell ref="A9:A11"/>
    <mergeCell ref="B9:B11"/>
    <mergeCell ref="I10:I11"/>
    <mergeCell ref="M10:M11"/>
    <mergeCell ref="R10:R11"/>
    <mergeCell ref="V10:V11"/>
    <mergeCell ref="C9:V9"/>
    <mergeCell ref="Q10:Q11"/>
    <mergeCell ref="A6:U6"/>
    <mergeCell ref="A8:U8"/>
    <mergeCell ref="C10:C11"/>
    <mergeCell ref="G10:G11"/>
    <mergeCell ref="K10:K11"/>
    <mergeCell ref="O10:O11"/>
    <mergeCell ref="E10:E11"/>
    <mergeCell ref="S10:S11"/>
    <mergeCell ref="D10:D11"/>
    <mergeCell ref="H10:H11"/>
    <mergeCell ref="L10:L11"/>
    <mergeCell ref="P10:P11"/>
    <mergeCell ref="F10:F11"/>
  </mergeCells>
  <phoneticPr fontId="15" type="noConversion"/>
  <conditionalFormatting sqref="C32 C43 C48 C65 B9 G32 B12:B50 B52:B55 B70 B58:B68 S10:U10 C10:E11 R10:R11 O10:P11 K10:M11 G10:I11">
    <cfRule type="containsText" dxfId="227" priority="47" stopIfTrue="1" operator="containsText" text="#ЗНАЧ!">
      <formula>NOT(ISERROR(SEARCH("#ЗНАЧ!",B9)))</formula>
    </cfRule>
    <cfRule type="containsText" dxfId="226" priority="48" stopIfTrue="1" operator="containsText" text="#ЗНАЧ!">
      <formula>NOT(ISERROR(SEARCH("#ЗНАЧ!",B9)))</formula>
    </cfRule>
  </conditionalFormatting>
  <conditionalFormatting sqref="B51">
    <cfRule type="containsText" dxfId="225" priority="23" stopIfTrue="1" operator="containsText" text="#ЗНАЧ!">
      <formula>NOT(ISERROR(SEARCH("#ЗНАЧ!",B51)))</formula>
    </cfRule>
    <cfRule type="containsText" dxfId="224" priority="24" stopIfTrue="1" operator="containsText" text="#ЗНАЧ!">
      <formula>NOT(ISERROR(SEARCH("#ЗНАЧ!",B51)))</formula>
    </cfRule>
  </conditionalFormatting>
  <conditionalFormatting sqref="B69">
    <cfRule type="containsText" dxfId="223" priority="17" stopIfTrue="1" operator="containsText" text="#ЗНАЧ!">
      <formula>NOT(ISERROR(SEARCH("#ЗНАЧ!",B69)))</formula>
    </cfRule>
    <cfRule type="containsText" dxfId="222" priority="18" stopIfTrue="1" operator="containsText" text="#ЗНАЧ!">
      <formula>NOT(ISERROR(SEARCH("#ЗНАЧ!",B69)))</formula>
    </cfRule>
  </conditionalFormatting>
  <conditionalFormatting sqref="B56">
    <cfRule type="containsText" dxfId="221" priority="13" stopIfTrue="1" operator="containsText" text="#ЗНАЧ!">
      <formula>NOT(ISERROR(SEARCH("#ЗНАЧ!",B56)))</formula>
    </cfRule>
    <cfRule type="containsText" dxfId="220" priority="14" stopIfTrue="1" operator="containsText" text="#ЗНАЧ!">
      <formula>NOT(ISERROR(SEARCH("#ЗНАЧ!",B56)))</formula>
    </cfRule>
  </conditionalFormatting>
  <conditionalFormatting sqref="B57">
    <cfRule type="containsText" dxfId="219" priority="11" stopIfTrue="1" operator="containsText" text="#ЗНАЧ!">
      <formula>NOT(ISERROR(SEARCH("#ЗНАЧ!",B57)))</formula>
    </cfRule>
    <cfRule type="containsText" dxfId="218" priority="12" stopIfTrue="1" operator="containsText" text="#ЗНАЧ!">
      <formula>NOT(ISERROR(SEARCH("#ЗНАЧ!",B57)))</formula>
    </cfRule>
  </conditionalFormatting>
  <conditionalFormatting sqref="V10">
    <cfRule type="containsText" dxfId="217" priority="9" stopIfTrue="1" operator="containsText" text="#ЗНАЧ!">
      <formula>NOT(ISERROR(SEARCH("#ЗНАЧ!",V10)))</formula>
    </cfRule>
    <cfRule type="containsText" dxfId="216" priority="10" stopIfTrue="1" operator="containsText" text="#ЗНАЧ!">
      <formula>NOT(ISERROR(SEARCH("#ЗНАЧ!",V10)))</formula>
    </cfRule>
  </conditionalFormatting>
  <conditionalFormatting sqref="F10:F11">
    <cfRule type="containsText" dxfId="215" priority="1" stopIfTrue="1" operator="containsText" text="#ЗНАЧ!">
      <formula>NOT(ISERROR(SEARCH("#ЗНАЧ!",F10)))</formula>
    </cfRule>
    <cfRule type="containsText" dxfId="214" priority="2" stopIfTrue="1" operator="containsText" text="#ЗНАЧ!">
      <formula>NOT(ISERROR(SEARCH("#ЗНАЧ!",F10)))</formula>
    </cfRule>
  </conditionalFormatting>
  <conditionalFormatting sqref="Q10:Q11">
    <cfRule type="containsText" dxfId="213" priority="7" stopIfTrue="1" operator="containsText" text="#ЗНАЧ!">
      <formula>NOT(ISERROR(SEARCH("#ЗНАЧ!",Q10)))</formula>
    </cfRule>
    <cfRule type="containsText" dxfId="212" priority="8" stopIfTrue="1" operator="containsText" text="#ЗНАЧ!">
      <formula>NOT(ISERROR(SEARCH("#ЗНАЧ!",Q10)))</formula>
    </cfRule>
  </conditionalFormatting>
  <conditionalFormatting sqref="N10:N11">
    <cfRule type="containsText" dxfId="211" priority="5" stopIfTrue="1" operator="containsText" text="#ЗНАЧ!">
      <formula>NOT(ISERROR(SEARCH("#ЗНАЧ!",N10)))</formula>
    </cfRule>
    <cfRule type="containsText" dxfId="210" priority="6" stopIfTrue="1" operator="containsText" text="#ЗНАЧ!">
      <formula>NOT(ISERROR(SEARCH("#ЗНАЧ!",N10)))</formula>
    </cfRule>
  </conditionalFormatting>
  <conditionalFormatting sqref="J10:J11">
    <cfRule type="containsText" dxfId="209" priority="3" stopIfTrue="1" operator="containsText" text="#ЗНАЧ!">
      <formula>NOT(ISERROR(SEARCH("#ЗНАЧ!",J10)))</formula>
    </cfRule>
    <cfRule type="containsText" dxfId="208" priority="4" stopIfTrue="1" operator="containsText" text="#ЗНАЧ!">
      <formula>NOT(ISERROR(SEARCH("#ЗНАЧ!",J10)))</formula>
    </cfRule>
  </conditionalFormatting>
  <pageMargins left="0.25" right="0.25" top="0.75" bottom="0.75" header="0.3" footer="0.3"/>
  <pageSetup paperSize="9" scale="88" orientation="portrait" horizontalDpi="4294967294" verticalDpi="4294967294" r:id="rId1"/>
  <rowBreaks count="1" manualBreakCount="1">
    <brk id="49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0"/>
    <pageSetUpPr fitToPage="1"/>
  </sheetPr>
  <dimension ref="A1:AI186"/>
  <sheetViews>
    <sheetView zoomScaleNormal="100" workbookViewId="0">
      <selection activeCell="A15" sqref="A15"/>
    </sheetView>
  </sheetViews>
  <sheetFormatPr defaultRowHeight="15" outlineLevelRow="2" outlineLevelCol="1" x14ac:dyDescent="0.2"/>
  <cols>
    <col min="1" max="1" width="49.42578125" style="47" customWidth="1"/>
    <col min="2" max="2" width="15.140625" style="47" customWidth="1"/>
    <col min="3" max="4" width="33.28515625" style="47" hidden="1" customWidth="1" outlineLevel="1"/>
    <col min="5" max="5" width="33.28515625" style="47" customWidth="1" collapsed="1"/>
    <col min="6" max="33" width="9.140625" style="47" hidden="1" customWidth="1" outlineLevel="1"/>
    <col min="34" max="34" width="9.140625" style="47" collapsed="1"/>
    <col min="35" max="16384" width="9.140625" style="47"/>
  </cols>
  <sheetData>
    <row r="1" spans="1:33" ht="105.75" customHeight="1" x14ac:dyDescent="0.2">
      <c r="A1" s="249" t="s">
        <v>763</v>
      </c>
      <c r="B1" s="249"/>
      <c r="C1" s="249"/>
      <c r="D1" s="249"/>
      <c r="E1" s="249"/>
    </row>
    <row r="3" spans="1:33" ht="15" customHeight="1" x14ac:dyDescent="0.2">
      <c r="A3" s="274" t="s">
        <v>0</v>
      </c>
      <c r="B3" s="274" t="s">
        <v>1</v>
      </c>
      <c r="C3" s="274" t="s">
        <v>322</v>
      </c>
      <c r="D3" s="274" t="s">
        <v>712</v>
      </c>
      <c r="E3" s="274" t="s">
        <v>712</v>
      </c>
      <c r="F3" s="275" t="str">
        <f>[1]СВОД!F1</f>
        <v>КЦСОН Тюменского района</v>
      </c>
      <c r="G3" s="265" t="str">
        <f>[1]СВОД!H1</f>
        <v>МАУ ЦСОН          г. Ишим "Забота"</v>
      </c>
      <c r="H3" s="276" t="str">
        <f>[1]СВОД!G1</f>
        <v>МАУ ЦСОН г. Тобольск</v>
      </c>
      <c r="I3" s="276" t="str">
        <f>[1]СВОД!I1</f>
        <v>АУ СОН ТО "ОЦРН"</v>
      </c>
      <c r="J3" s="276" t="str">
        <f>[1]СВОД!L1</f>
        <v>МАУ  КЦСОН Армизон р-н</v>
      </c>
      <c r="K3" s="276" t="str">
        <f>[1]СВОД!M1</f>
        <v>МАУ ЦСОН Омутинского р-на</v>
      </c>
      <c r="L3" s="276" t="str">
        <f>[1]СВОД!Q1</f>
        <v>АУ КЦСОН Бердюж. р-на</v>
      </c>
      <c r="M3" s="276" t="str">
        <f>[1]СВОД!R1</f>
        <v>АУ КЦСОН "Забота" Исетского р-на</v>
      </c>
      <c r="N3" s="276" t="str">
        <f>[1]СВОД!W1</f>
        <v>МАУ КЦСОН Викуловского р-на</v>
      </c>
      <c r="O3" s="276" t="str">
        <f>[1]СВОД!AA1</f>
        <v>МАУ КЦСОН Вагайского р-на</v>
      </c>
      <c r="P3" s="276" t="str">
        <f>[1]СВОД!AB1</f>
        <v>МАУ КЦСОН Казанского р-на</v>
      </c>
      <c r="Q3" s="276" t="str">
        <f>[1]СВОД!AC1</f>
        <v>МАУ КЦСОН "Тавда"</v>
      </c>
      <c r="R3" s="276" t="str">
        <f>[1]СВОД!AE1</f>
        <v>АУСОН ТО СРЦН г. Тобольска</v>
      </c>
      <c r="S3" s="276" t="str">
        <f>[1]СВОД!AF1</f>
        <v>АУСОН ТО СРЦН с. Омутинское</v>
      </c>
      <c r="T3" s="276" t="str">
        <f>[1]СВОД!AH1</f>
        <v>МАУ КЦСОН "Милосердие" Абатского р-на</v>
      </c>
      <c r="U3" s="276" t="str">
        <f>[1]СВОД!AI1</f>
        <v>АУ Аромашевский КЦСОН</v>
      </c>
      <c r="V3" s="276" t="str">
        <f>[1]СВОД!AJ1</f>
        <v>МАУ КЦСОН Голышмановского р-на</v>
      </c>
      <c r="W3" s="276" t="str">
        <f>[1]СВОД!AK1</f>
        <v>МАУ КЦСОН Сорокинского р-на</v>
      </c>
      <c r="X3" s="276" t="str">
        <f>[1]СВОД!AL1</f>
        <v>АУ КЦСОН Юргинского р-на</v>
      </c>
      <c r="Y3" s="276" t="str">
        <f>[1]СВОД!AM1</f>
        <v>МАУ КЦСОН Ялуторовского р-на</v>
      </c>
      <c r="Z3" s="276" t="s">
        <v>22</v>
      </c>
      <c r="AA3" s="276" t="s">
        <v>23</v>
      </c>
      <c r="AB3" s="276" t="s">
        <v>24</v>
      </c>
      <c r="AC3" s="276" t="s">
        <v>25</v>
      </c>
      <c r="AD3" s="276" t="s">
        <v>26</v>
      </c>
      <c r="AE3" s="276" t="s">
        <v>21</v>
      </c>
      <c r="AF3" s="276" t="s">
        <v>264</v>
      </c>
      <c r="AG3" s="276" t="s">
        <v>27</v>
      </c>
    </row>
    <row r="4" spans="1:33" ht="51" customHeight="1" x14ac:dyDescent="0.2">
      <c r="A4" s="274"/>
      <c r="B4" s="274"/>
      <c r="C4" s="274"/>
      <c r="D4" s="274"/>
      <c r="E4" s="274"/>
      <c r="F4" s="275"/>
      <c r="G4" s="26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76"/>
      <c r="Y4" s="276"/>
      <c r="Z4" s="276"/>
      <c r="AA4" s="276"/>
      <c r="AB4" s="276"/>
      <c r="AC4" s="276"/>
      <c r="AD4" s="276"/>
      <c r="AE4" s="276"/>
      <c r="AF4" s="276"/>
      <c r="AG4" s="276"/>
    </row>
    <row r="5" spans="1:33" ht="18.75" hidden="1" customHeight="1" outlineLevel="1" x14ac:dyDescent="0.2">
      <c r="A5" s="273" t="s">
        <v>249</v>
      </c>
      <c r="B5" s="273"/>
      <c r="C5" s="273"/>
      <c r="D5" s="102"/>
      <c r="E5" s="168"/>
      <c r="F5" s="45">
        <v>0.78</v>
      </c>
      <c r="G5" s="49">
        <v>1</v>
      </c>
      <c r="H5" s="49">
        <v>0.54</v>
      </c>
      <c r="I5" s="49">
        <v>1.85</v>
      </c>
      <c r="J5" s="49">
        <v>0.83</v>
      </c>
      <c r="K5" s="49">
        <v>1.04</v>
      </c>
      <c r="L5" s="49">
        <v>1.27</v>
      </c>
      <c r="M5" s="49">
        <v>0.68</v>
      </c>
      <c r="N5" s="49">
        <v>1.21</v>
      </c>
      <c r="O5" s="49">
        <v>0.85</v>
      </c>
      <c r="P5" s="49">
        <v>1.1499999999999999</v>
      </c>
      <c r="Q5" s="49">
        <v>0.87</v>
      </c>
      <c r="R5" s="49">
        <v>0.95</v>
      </c>
      <c r="S5" s="49">
        <v>1.04</v>
      </c>
      <c r="T5" s="49">
        <v>1.05</v>
      </c>
      <c r="U5" s="49">
        <v>0.87</v>
      </c>
      <c r="V5" s="49">
        <v>1.53</v>
      </c>
      <c r="W5" s="49">
        <v>1.28</v>
      </c>
      <c r="X5" s="49">
        <v>1.0900000000000001</v>
      </c>
      <c r="Y5" s="49">
        <v>1.1200000000000001</v>
      </c>
      <c r="Z5" s="54">
        <v>0.98</v>
      </c>
      <c r="AA5" s="54">
        <v>0.86</v>
      </c>
      <c r="AB5" s="54">
        <v>0.97</v>
      </c>
      <c r="AC5" s="54">
        <v>1.55</v>
      </c>
      <c r="AD5" s="54">
        <v>1.22</v>
      </c>
      <c r="AE5" s="54">
        <v>0.6</v>
      </c>
      <c r="AF5" s="54">
        <v>1.03</v>
      </c>
      <c r="AG5" s="54">
        <v>0.44</v>
      </c>
    </row>
    <row r="6" spans="1:33" ht="47.25" hidden="1" customHeight="1" outlineLevel="2" x14ac:dyDescent="0.2">
      <c r="A6" s="263" t="str">
        <f>[1]СВОД!A115</f>
        <v>2. Полустационарное социальное обслуживание инвалидов, в том числе детей-инвалидов</v>
      </c>
      <c r="B6" s="263"/>
      <c r="C6" s="263"/>
      <c r="D6" s="100"/>
      <c r="E6" s="169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</row>
    <row r="7" spans="1:33" ht="17.25" customHeight="1" outlineLevel="2" x14ac:dyDescent="0.2">
      <c r="A7" s="250" t="s">
        <v>601</v>
      </c>
      <c r="B7" s="251"/>
      <c r="C7" s="251"/>
      <c r="D7" s="251"/>
      <c r="E7" s="252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</row>
    <row r="8" spans="1:33" ht="21" customHeight="1" outlineLevel="2" x14ac:dyDescent="0.25">
      <c r="A8" s="246" t="s">
        <v>78</v>
      </c>
      <c r="B8" s="247"/>
      <c r="C8" s="247"/>
      <c r="D8" s="247"/>
      <c r="E8" s="248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</row>
    <row r="9" spans="1:33" ht="75" customHeight="1" outlineLevel="2" x14ac:dyDescent="0.2">
      <c r="A9" s="93" t="s">
        <v>446</v>
      </c>
      <c r="B9" s="84" t="s">
        <v>113</v>
      </c>
      <c r="C9" s="84">
        <v>123.95</v>
      </c>
      <c r="D9" s="105">
        <v>156</v>
      </c>
      <c r="E9" s="105">
        <f>D9*1.04</f>
        <v>162.24</v>
      </c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</row>
    <row r="10" spans="1:33" ht="47.25" customHeight="1" outlineLevel="2" x14ac:dyDescent="0.2">
      <c r="A10" s="93" t="s">
        <v>447</v>
      </c>
      <c r="B10" s="84" t="s">
        <v>309</v>
      </c>
      <c r="C10" s="84">
        <v>67.03</v>
      </c>
      <c r="D10" s="105">
        <v>85</v>
      </c>
      <c r="E10" s="105">
        <f t="shared" ref="E10:E17" si="0">D10*1.04</f>
        <v>88.4</v>
      </c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</row>
    <row r="11" spans="1:33" ht="110.25" customHeight="1" outlineLevel="2" x14ac:dyDescent="0.2">
      <c r="A11" s="93" t="s">
        <v>588</v>
      </c>
      <c r="B11" s="84" t="s">
        <v>32</v>
      </c>
      <c r="C11" s="84">
        <v>295.41000000000003</v>
      </c>
      <c r="D11" s="105">
        <v>374</v>
      </c>
      <c r="E11" s="105">
        <f t="shared" si="0"/>
        <v>388.96000000000004</v>
      </c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</row>
    <row r="12" spans="1:33" ht="47.25" hidden="1" customHeight="1" outlineLevel="2" x14ac:dyDescent="0.2">
      <c r="A12" s="95" t="s">
        <v>267</v>
      </c>
      <c r="B12" s="84" t="s">
        <v>32</v>
      </c>
      <c r="C12" s="84"/>
      <c r="D12" s="105">
        <f t="shared" ref="D12:D20" si="1">ROUND(C12*1.1,0)</f>
        <v>0</v>
      </c>
      <c r="E12" s="105">
        <f t="shared" si="0"/>
        <v>0</v>
      </c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</row>
    <row r="13" spans="1:33" ht="45" hidden="1" customHeight="1" outlineLevel="2" thickBot="1" x14ac:dyDescent="0.25">
      <c r="A13" s="95" t="s">
        <v>268</v>
      </c>
      <c r="B13" s="84" t="s">
        <v>32</v>
      </c>
      <c r="C13" s="84"/>
      <c r="D13" s="105">
        <f t="shared" si="1"/>
        <v>0</v>
      </c>
      <c r="E13" s="105">
        <f t="shared" si="0"/>
        <v>0</v>
      </c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</row>
    <row r="14" spans="1:33" ht="165.75" customHeight="1" outlineLevel="2" x14ac:dyDescent="0.2">
      <c r="A14" s="93" t="s">
        <v>578</v>
      </c>
      <c r="B14" s="84" t="s">
        <v>32</v>
      </c>
      <c r="C14" s="84">
        <v>116.19</v>
      </c>
      <c r="D14" s="105">
        <v>147</v>
      </c>
      <c r="E14" s="105">
        <f t="shared" si="0"/>
        <v>152.88</v>
      </c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</row>
    <row r="15" spans="1:33" ht="47.25" customHeight="1" outlineLevel="2" x14ac:dyDescent="0.2">
      <c r="A15" s="95" t="s">
        <v>310</v>
      </c>
      <c r="B15" s="84" t="s">
        <v>32</v>
      </c>
      <c r="C15" s="84">
        <v>275.61</v>
      </c>
      <c r="D15" s="105">
        <v>348</v>
      </c>
      <c r="E15" s="105">
        <f t="shared" si="0"/>
        <v>361.92</v>
      </c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</row>
    <row r="16" spans="1:33" ht="44.25" customHeight="1" outlineLevel="2" x14ac:dyDescent="0.2">
      <c r="A16" s="93" t="s">
        <v>448</v>
      </c>
      <c r="B16" s="84" t="s">
        <v>32</v>
      </c>
      <c r="C16" s="84">
        <v>145.27000000000001</v>
      </c>
      <c r="D16" s="103">
        <v>20</v>
      </c>
      <c r="E16" s="105">
        <f t="shared" si="0"/>
        <v>20.8</v>
      </c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</row>
    <row r="17" spans="1:34" ht="47.25" customHeight="1" outlineLevel="2" x14ac:dyDescent="0.2">
      <c r="A17" s="96" t="s">
        <v>449</v>
      </c>
      <c r="B17" s="84" t="s">
        <v>32</v>
      </c>
      <c r="C17" s="84">
        <v>149</v>
      </c>
      <c r="D17" s="105">
        <v>189</v>
      </c>
      <c r="E17" s="105">
        <f t="shared" si="0"/>
        <v>196.56</v>
      </c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</row>
    <row r="18" spans="1:34" ht="20.25" customHeight="1" outlineLevel="2" x14ac:dyDescent="0.25">
      <c r="A18" s="267" t="s">
        <v>91</v>
      </c>
      <c r="B18" s="268"/>
      <c r="C18" s="268"/>
      <c r="D18" s="268"/>
      <c r="E18" s="269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</row>
    <row r="19" spans="1:34" ht="21" customHeight="1" outlineLevel="2" x14ac:dyDescent="0.2">
      <c r="A19" s="106" t="s">
        <v>450</v>
      </c>
      <c r="B19" s="84" t="s">
        <v>32</v>
      </c>
      <c r="C19" s="84">
        <v>86.47</v>
      </c>
      <c r="D19" s="105">
        <v>109</v>
      </c>
      <c r="E19" s="105">
        <f>D19*1.04</f>
        <v>113.36</v>
      </c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</row>
    <row r="20" spans="1:34" ht="47.25" hidden="1" customHeight="1" outlineLevel="2" x14ac:dyDescent="0.2">
      <c r="A20" s="107" t="s">
        <v>311</v>
      </c>
      <c r="B20" s="84"/>
      <c r="C20" s="84"/>
      <c r="D20" s="105">
        <f t="shared" si="1"/>
        <v>0</v>
      </c>
      <c r="E20" s="105">
        <f t="shared" ref="E20:E23" si="2">D20*1.04</f>
        <v>0</v>
      </c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</row>
    <row r="21" spans="1:34" ht="150.75" customHeight="1" outlineLevel="2" x14ac:dyDescent="0.2">
      <c r="A21" s="93" t="s">
        <v>582</v>
      </c>
      <c r="B21" s="84"/>
      <c r="C21" s="84"/>
      <c r="D21" s="103">
        <v>52</v>
      </c>
      <c r="E21" s="105">
        <f t="shared" si="2"/>
        <v>54.08</v>
      </c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</row>
    <row r="22" spans="1:34" ht="170.25" customHeight="1" outlineLevel="2" x14ac:dyDescent="0.2">
      <c r="A22" s="93" t="s">
        <v>589</v>
      </c>
      <c r="B22" s="84" t="s">
        <v>451</v>
      </c>
      <c r="C22" s="84"/>
      <c r="D22" s="103">
        <v>200</v>
      </c>
      <c r="E22" s="105">
        <f t="shared" si="2"/>
        <v>208</v>
      </c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18"/>
    </row>
    <row r="23" spans="1:34" ht="47.25" customHeight="1" outlineLevel="2" x14ac:dyDescent="0.2">
      <c r="A23" s="95" t="s">
        <v>312</v>
      </c>
      <c r="B23" s="84" t="s">
        <v>32</v>
      </c>
      <c r="C23" s="84">
        <v>161.46</v>
      </c>
      <c r="D23" s="105">
        <v>205</v>
      </c>
      <c r="E23" s="105">
        <f t="shared" si="2"/>
        <v>213.20000000000002</v>
      </c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</row>
    <row r="24" spans="1:34" ht="105.75" customHeight="1" outlineLevel="2" x14ac:dyDescent="0.2">
      <c r="A24" s="93" t="s">
        <v>452</v>
      </c>
      <c r="B24" s="84" t="s">
        <v>451</v>
      </c>
      <c r="C24" s="84"/>
      <c r="D24" s="103">
        <v>205</v>
      </c>
      <c r="E24" s="105">
        <f>D24*1.04</f>
        <v>213.20000000000002</v>
      </c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</row>
    <row r="25" spans="1:34" ht="27.75" customHeight="1" outlineLevel="2" x14ac:dyDescent="0.2">
      <c r="A25" s="104" t="s">
        <v>453</v>
      </c>
      <c r="B25" s="84" t="s">
        <v>451</v>
      </c>
      <c r="C25" s="84"/>
      <c r="D25" s="103">
        <v>107</v>
      </c>
      <c r="E25" s="105">
        <f>D25*1.04</f>
        <v>111.28</v>
      </c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</row>
    <row r="26" spans="1:34" ht="30.75" customHeight="1" outlineLevel="2" x14ac:dyDescent="0.25">
      <c r="A26" s="246" t="s">
        <v>73</v>
      </c>
      <c r="B26" s="247"/>
      <c r="C26" s="247"/>
      <c r="D26" s="247"/>
      <c r="E26" s="248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</row>
    <row r="27" spans="1:34" ht="47.25" hidden="1" customHeight="1" outlineLevel="2" x14ac:dyDescent="0.2">
      <c r="A27" s="65" t="s">
        <v>294</v>
      </c>
      <c r="B27" s="41" t="s">
        <v>32</v>
      </c>
      <c r="C27" s="100"/>
      <c r="D27" s="41">
        <f t="shared" ref="D27:D29" si="3">ROUND(C27*1.1,2)</f>
        <v>0</v>
      </c>
      <c r="E27" s="166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</row>
    <row r="28" spans="1:34" ht="47.25" hidden="1" customHeight="1" outlineLevel="2" x14ac:dyDescent="0.2">
      <c r="A28" s="65" t="s">
        <v>272</v>
      </c>
      <c r="B28" s="41" t="s">
        <v>32</v>
      </c>
      <c r="C28" s="100"/>
      <c r="D28" s="41">
        <f t="shared" si="3"/>
        <v>0</v>
      </c>
      <c r="E28" s="166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</row>
    <row r="29" spans="1:34" ht="47.25" hidden="1" customHeight="1" outlineLevel="2" x14ac:dyDescent="0.2">
      <c r="A29" s="65" t="s">
        <v>273</v>
      </c>
      <c r="B29" s="41" t="s">
        <v>32</v>
      </c>
      <c r="C29" s="100"/>
      <c r="D29" s="41">
        <f t="shared" si="3"/>
        <v>0</v>
      </c>
      <c r="E29" s="166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</row>
    <row r="30" spans="1:34" ht="120.75" customHeight="1" outlineLevel="2" x14ac:dyDescent="0.2">
      <c r="A30" s="110" t="s">
        <v>600</v>
      </c>
      <c r="B30" s="41" t="s">
        <v>32</v>
      </c>
      <c r="C30" s="41">
        <v>157.11000000000001</v>
      </c>
      <c r="D30" s="103">
        <v>199</v>
      </c>
      <c r="E30" s="103">
        <f>D30*1.04</f>
        <v>206.96</v>
      </c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</row>
    <row r="31" spans="1:34" ht="47.25" hidden="1" customHeight="1" outlineLevel="2" x14ac:dyDescent="0.2">
      <c r="A31" s="65" t="s">
        <v>313</v>
      </c>
      <c r="B31" s="41"/>
      <c r="C31" s="100"/>
      <c r="D31" s="103">
        <f t="shared" ref="D31:D36" si="4">ROUND(C31*1.1,0)</f>
        <v>0</v>
      </c>
      <c r="E31" s="103">
        <f t="shared" ref="E31:E39" si="5">D31*1.04</f>
        <v>0</v>
      </c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</row>
    <row r="32" spans="1:34" ht="47.25" hidden="1" customHeight="1" outlineLevel="2" x14ac:dyDescent="0.2">
      <c r="A32" s="65" t="s">
        <v>275</v>
      </c>
      <c r="B32" s="41" t="s">
        <v>32</v>
      </c>
      <c r="C32" s="100"/>
      <c r="D32" s="103">
        <f t="shared" si="4"/>
        <v>0</v>
      </c>
      <c r="E32" s="103">
        <f t="shared" si="5"/>
        <v>0</v>
      </c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</row>
    <row r="33" spans="1:34" ht="47.25" hidden="1" customHeight="1" outlineLevel="2" x14ac:dyDescent="0.2">
      <c r="A33" s="65" t="s">
        <v>276</v>
      </c>
      <c r="B33" s="41" t="s">
        <v>32</v>
      </c>
      <c r="C33" s="100"/>
      <c r="D33" s="103">
        <f t="shared" si="4"/>
        <v>0</v>
      </c>
      <c r="E33" s="103">
        <f t="shared" si="5"/>
        <v>0</v>
      </c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</row>
    <row r="34" spans="1:34" ht="47.25" hidden="1" customHeight="1" outlineLevel="2" x14ac:dyDescent="0.2">
      <c r="A34" s="65" t="s">
        <v>277</v>
      </c>
      <c r="B34" s="41" t="s">
        <v>32</v>
      </c>
      <c r="C34" s="100"/>
      <c r="D34" s="103">
        <f t="shared" si="4"/>
        <v>0</v>
      </c>
      <c r="E34" s="103">
        <f t="shared" si="5"/>
        <v>0</v>
      </c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</row>
    <row r="35" spans="1:34" ht="47.25" hidden="1" customHeight="1" outlineLevel="2" x14ac:dyDescent="0.2">
      <c r="A35" s="65" t="s">
        <v>278</v>
      </c>
      <c r="B35" s="41" t="s">
        <v>32</v>
      </c>
      <c r="C35" s="100"/>
      <c r="D35" s="103">
        <f t="shared" si="4"/>
        <v>0</v>
      </c>
      <c r="E35" s="103">
        <f t="shared" si="5"/>
        <v>0</v>
      </c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</row>
    <row r="36" spans="1:34" ht="47.25" hidden="1" customHeight="1" outlineLevel="2" x14ac:dyDescent="0.2">
      <c r="A36" s="65" t="s">
        <v>279</v>
      </c>
      <c r="B36" s="41" t="s">
        <v>32</v>
      </c>
      <c r="C36" s="100"/>
      <c r="D36" s="103">
        <f t="shared" si="4"/>
        <v>0</v>
      </c>
      <c r="E36" s="103">
        <f t="shared" si="5"/>
        <v>0</v>
      </c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</row>
    <row r="37" spans="1:34" ht="28.5" customHeight="1" outlineLevel="2" x14ac:dyDescent="0.2">
      <c r="A37" s="119" t="s">
        <v>427</v>
      </c>
      <c r="B37" s="41" t="s">
        <v>32</v>
      </c>
      <c r="C37" s="41">
        <v>314.18</v>
      </c>
      <c r="D37" s="103">
        <v>398</v>
      </c>
      <c r="E37" s="103">
        <f t="shared" si="5"/>
        <v>413.92</v>
      </c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</row>
    <row r="38" spans="1:34" ht="35.25" customHeight="1" outlineLevel="2" x14ac:dyDescent="0.2">
      <c r="A38" s="119" t="s">
        <v>454</v>
      </c>
      <c r="B38" s="41" t="s">
        <v>32</v>
      </c>
      <c r="C38" s="41">
        <v>245.49</v>
      </c>
      <c r="D38" s="103">
        <v>311</v>
      </c>
      <c r="E38" s="103">
        <f t="shared" si="5"/>
        <v>323.44</v>
      </c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</row>
    <row r="39" spans="1:34" ht="44.25" customHeight="1" outlineLevel="2" x14ac:dyDescent="0.2">
      <c r="A39" s="120" t="s">
        <v>428</v>
      </c>
      <c r="B39" s="41" t="s">
        <v>32</v>
      </c>
      <c r="C39" s="41"/>
      <c r="D39" s="103">
        <v>352</v>
      </c>
      <c r="E39" s="103">
        <f t="shared" si="5"/>
        <v>366.08000000000004</v>
      </c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</row>
    <row r="40" spans="1:34" ht="27.75" customHeight="1" outlineLevel="2" x14ac:dyDescent="0.25">
      <c r="A40" s="246" t="s">
        <v>235</v>
      </c>
      <c r="B40" s="247"/>
      <c r="C40" s="247"/>
      <c r="D40" s="247"/>
      <c r="E40" s="248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</row>
    <row r="41" spans="1:34" ht="71.25" customHeight="1" outlineLevel="2" x14ac:dyDescent="0.25">
      <c r="A41" s="124" t="s">
        <v>598</v>
      </c>
      <c r="B41" s="101"/>
      <c r="C41" s="101"/>
      <c r="D41" s="101"/>
      <c r="E41" s="162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</row>
    <row r="42" spans="1:34" ht="179.25" customHeight="1" outlineLevel="2" x14ac:dyDescent="0.2">
      <c r="A42" s="110" t="s">
        <v>619</v>
      </c>
      <c r="B42" s="41" t="s">
        <v>32</v>
      </c>
      <c r="C42" s="41">
        <v>138.96</v>
      </c>
      <c r="D42" s="103">
        <f>(173+153+306)/3*1.15</f>
        <v>242.26666666666662</v>
      </c>
      <c r="E42" s="103">
        <f>D42*1.04</f>
        <v>251.95733333333331</v>
      </c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118"/>
    </row>
    <row r="43" spans="1:34" ht="29.25" customHeight="1" outlineLevel="2" x14ac:dyDescent="0.2">
      <c r="A43" s="110" t="s">
        <v>599</v>
      </c>
      <c r="B43" s="41" t="s">
        <v>32</v>
      </c>
      <c r="C43" s="41"/>
      <c r="D43" s="108">
        <v>242</v>
      </c>
      <c r="E43" s="103">
        <f t="shared" ref="E43:E45" si="6">D43*1.04</f>
        <v>251.68</v>
      </c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118"/>
    </row>
    <row r="44" spans="1:34" ht="56.25" customHeight="1" outlineLevel="2" x14ac:dyDescent="0.2">
      <c r="A44" s="110" t="s">
        <v>455</v>
      </c>
      <c r="B44" s="41" t="s">
        <v>32</v>
      </c>
      <c r="C44" s="41">
        <v>293.52</v>
      </c>
      <c r="D44" s="103">
        <v>371</v>
      </c>
      <c r="E44" s="103">
        <f t="shared" si="6"/>
        <v>385.84000000000003</v>
      </c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</row>
    <row r="45" spans="1:34" ht="30" customHeight="1" outlineLevel="2" x14ac:dyDescent="0.2">
      <c r="A45" s="65" t="s">
        <v>282</v>
      </c>
      <c r="B45" s="41" t="s">
        <v>32</v>
      </c>
      <c r="C45" s="41">
        <v>232.35</v>
      </c>
      <c r="D45" s="103">
        <v>294</v>
      </c>
      <c r="E45" s="103">
        <f t="shared" si="6"/>
        <v>305.76</v>
      </c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</row>
    <row r="46" spans="1:34" ht="30" customHeight="1" outlineLevel="2" x14ac:dyDescent="0.25">
      <c r="A46" s="246" t="s">
        <v>75</v>
      </c>
      <c r="B46" s="247"/>
      <c r="C46" s="247"/>
      <c r="D46" s="247"/>
      <c r="E46" s="248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</row>
    <row r="47" spans="1:34" ht="199.5" customHeight="1" outlineLevel="2" x14ac:dyDescent="0.2">
      <c r="A47" s="110" t="s">
        <v>590</v>
      </c>
      <c r="B47" s="41" t="s">
        <v>32</v>
      </c>
      <c r="C47" s="41">
        <v>168</v>
      </c>
      <c r="D47" s="103">
        <v>210</v>
      </c>
      <c r="E47" s="103">
        <f>D47*1.04</f>
        <v>218.4</v>
      </c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121"/>
    </row>
    <row r="48" spans="1:34" ht="25.5" hidden="1" customHeight="1" outlineLevel="2" x14ac:dyDescent="0.2">
      <c r="A48" s="65" t="s">
        <v>283</v>
      </c>
      <c r="B48" s="41" t="s">
        <v>32</v>
      </c>
      <c r="C48" s="41">
        <v>209.07</v>
      </c>
      <c r="D48" s="103">
        <f>ROUND(C48*1.1,0)*1.15</f>
        <v>264.5</v>
      </c>
      <c r="E48" s="103">
        <f t="shared" ref="E48:E49" si="7">D48*1.04</f>
        <v>275.08</v>
      </c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</row>
    <row r="49" spans="1:34" ht="233.25" customHeight="1" outlineLevel="2" x14ac:dyDescent="0.2">
      <c r="A49" s="65" t="s">
        <v>456</v>
      </c>
      <c r="B49" s="41" t="s">
        <v>451</v>
      </c>
      <c r="C49" s="41"/>
      <c r="D49" s="103">
        <v>213</v>
      </c>
      <c r="E49" s="103">
        <f t="shared" si="7"/>
        <v>221.52</v>
      </c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</row>
    <row r="50" spans="1:34" ht="39.75" customHeight="1" x14ac:dyDescent="0.2">
      <c r="A50" s="270" t="s">
        <v>615</v>
      </c>
      <c r="B50" s="271"/>
      <c r="C50" s="271"/>
      <c r="D50" s="271"/>
      <c r="E50" s="272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</row>
    <row r="51" spans="1:34" ht="15.75" x14ac:dyDescent="0.25">
      <c r="A51" s="246" t="str">
        <f>[1]СВОД!A117</f>
        <v>Социально-бытовые услуги</v>
      </c>
      <c r="B51" s="247"/>
      <c r="C51" s="247"/>
      <c r="D51" s="247"/>
      <c r="E51" s="248"/>
      <c r="F51" s="38"/>
      <c r="G51" s="37"/>
      <c r="H51" s="37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37"/>
      <c r="AA51" s="37"/>
      <c r="AB51" s="37"/>
      <c r="AC51" s="37"/>
      <c r="AD51" s="37"/>
      <c r="AE51" s="37"/>
      <c r="AF51" s="46"/>
      <c r="AG51" s="46"/>
    </row>
    <row r="52" spans="1:34" ht="90" customHeight="1" x14ac:dyDescent="0.2">
      <c r="A52" s="111" t="s">
        <v>423</v>
      </c>
      <c r="B52" s="41" t="str">
        <f>[1]СВОД!B118</f>
        <v>1 раз в день</v>
      </c>
      <c r="C52" s="41">
        <v>67.03</v>
      </c>
      <c r="D52" s="103">
        <v>85</v>
      </c>
      <c r="E52" s="170">
        <f>D52*1.04</f>
        <v>88.4</v>
      </c>
      <c r="F52" s="38">
        <v>62.500250000000008</v>
      </c>
      <c r="G52" s="37"/>
      <c r="H52" s="37"/>
      <c r="I52" s="37">
        <v>50.00206339999999</v>
      </c>
      <c r="J52" s="37">
        <v>62.5</v>
      </c>
      <c r="K52" s="37">
        <v>62.499124999999999</v>
      </c>
      <c r="L52" s="37">
        <v>62.500250000000008</v>
      </c>
      <c r="M52" s="37"/>
      <c r="N52" s="37">
        <v>62.500250000000008</v>
      </c>
      <c r="O52" s="37">
        <v>50</v>
      </c>
      <c r="P52" s="37">
        <v>62.500250000000008</v>
      </c>
      <c r="Q52" s="37">
        <v>62.500250000000008</v>
      </c>
      <c r="R52" s="37">
        <v>125</v>
      </c>
      <c r="S52" s="37">
        <v>75</v>
      </c>
      <c r="T52" s="37">
        <v>62.503749999999997</v>
      </c>
      <c r="U52" s="37">
        <v>62.5</v>
      </c>
      <c r="V52" s="37">
        <v>62.5</v>
      </c>
      <c r="W52" s="37">
        <v>62.500250000000008</v>
      </c>
      <c r="X52" s="37">
        <v>62.5</v>
      </c>
      <c r="Y52" s="37"/>
      <c r="Z52" s="37">
        <v>62.5</v>
      </c>
      <c r="AA52" s="37">
        <v>62.5</v>
      </c>
      <c r="AB52" s="37">
        <v>62.5</v>
      </c>
      <c r="AC52" s="37">
        <v>62.5</v>
      </c>
      <c r="AD52" s="37">
        <v>62.5</v>
      </c>
      <c r="AE52" s="37">
        <v>62.5</v>
      </c>
      <c r="AF52" s="37">
        <v>62.5</v>
      </c>
      <c r="AG52" s="37">
        <v>50</v>
      </c>
      <c r="AH52" s="57"/>
    </row>
    <row r="53" spans="1:34" ht="44.25" customHeight="1" x14ac:dyDescent="0.2">
      <c r="A53" s="111" t="s">
        <v>314</v>
      </c>
      <c r="B53" s="41" t="str">
        <f>[1]СВОД!B119</f>
        <v>1 услуга</v>
      </c>
      <c r="C53" s="41">
        <v>177</v>
      </c>
      <c r="D53" s="103">
        <v>224</v>
      </c>
      <c r="E53" s="170">
        <f t="shared" ref="E53:E55" si="8">D53*1.04</f>
        <v>232.96</v>
      </c>
      <c r="F53" s="38">
        <v>139.03473417204219</v>
      </c>
      <c r="G53" s="37"/>
      <c r="H53" s="37"/>
      <c r="I53" s="37">
        <v>358.56584307849829</v>
      </c>
      <c r="J53" s="37">
        <v>132.68161340003326</v>
      </c>
      <c r="K53" s="37">
        <v>176.7237538582761</v>
      </c>
      <c r="L53" s="37">
        <v>121.595377717269</v>
      </c>
      <c r="M53" s="37">
        <v>88.958572021617158</v>
      </c>
      <c r="N53" s="37">
        <v>131.39792306065345</v>
      </c>
      <c r="O53" s="37">
        <v>142.32870924113146</v>
      </c>
      <c r="P53" s="37">
        <v>136.51006856078061</v>
      </c>
      <c r="Q53" s="37">
        <v>124.85297072756717</v>
      </c>
      <c r="R53" s="37">
        <v>172.59267803030824</v>
      </c>
      <c r="S53" s="37">
        <v>163.39757228879662</v>
      </c>
      <c r="T53" s="37">
        <v>138.5627862623858</v>
      </c>
      <c r="U53" s="37">
        <v>100.91415551773702</v>
      </c>
      <c r="V53" s="37">
        <v>135.6904765081722</v>
      </c>
      <c r="W53" s="37">
        <v>155.47153084868827</v>
      </c>
      <c r="X53" s="37">
        <v>148.6813302262656</v>
      </c>
      <c r="Y53" s="37">
        <v>116.94637599372066</v>
      </c>
      <c r="Z53" s="37">
        <v>130.21052332799783</v>
      </c>
      <c r="AA53" s="37">
        <v>207.9632745659454</v>
      </c>
      <c r="AB53" s="37">
        <v>134.06480417623871</v>
      </c>
      <c r="AC53" s="37"/>
      <c r="AD53" s="37">
        <v>123.49740410550217</v>
      </c>
      <c r="AE53" s="37">
        <v>129.87137267619283</v>
      </c>
      <c r="AF53" s="37">
        <v>135.09027396444185</v>
      </c>
      <c r="AG53" s="37">
        <v>99.06211339722843</v>
      </c>
      <c r="AH53" s="57"/>
    </row>
    <row r="54" spans="1:34" ht="44.25" customHeight="1" x14ac:dyDescent="0.2">
      <c r="A54" s="111" t="s">
        <v>315</v>
      </c>
      <c r="B54" s="41" t="str">
        <f>[1]СВОД!B120</f>
        <v>1 услуга</v>
      </c>
      <c r="C54" s="41">
        <v>177.77</v>
      </c>
      <c r="D54" s="103">
        <v>225</v>
      </c>
      <c r="E54" s="170">
        <f t="shared" si="8"/>
        <v>234</v>
      </c>
      <c r="F54" s="38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57"/>
    </row>
    <row r="55" spans="1:34" ht="60" x14ac:dyDescent="0.2">
      <c r="A55" s="111" t="s">
        <v>429</v>
      </c>
      <c r="B55" s="41" t="s">
        <v>32</v>
      </c>
      <c r="C55" s="41"/>
      <c r="D55" s="103">
        <v>224</v>
      </c>
      <c r="E55" s="170">
        <f t="shared" si="8"/>
        <v>232.96</v>
      </c>
      <c r="F55" s="38">
        <v>139.03473417204219</v>
      </c>
      <c r="G55" s="37"/>
      <c r="H55" s="37"/>
      <c r="I55" s="37">
        <v>358.56584307849829</v>
      </c>
      <c r="J55" s="37">
        <v>132.68161340003326</v>
      </c>
      <c r="K55" s="37">
        <v>176.7237538582761</v>
      </c>
      <c r="L55" s="37">
        <v>121.595377717269</v>
      </c>
      <c r="M55" s="37">
        <v>88.958572021617158</v>
      </c>
      <c r="N55" s="37">
        <v>131.39792306065345</v>
      </c>
      <c r="O55" s="37">
        <v>142.32870924113146</v>
      </c>
      <c r="P55" s="37">
        <v>136.51006856078061</v>
      </c>
      <c r="Q55" s="37">
        <v>124.85297072756717</v>
      </c>
      <c r="R55" s="37">
        <v>185.87868229229235</v>
      </c>
      <c r="S55" s="37">
        <v>163.39757228879662</v>
      </c>
      <c r="T55" s="37">
        <v>138.5627862623858</v>
      </c>
      <c r="U55" s="37">
        <v>100.91415551773702</v>
      </c>
      <c r="V55" s="37">
        <v>135.6904765081722</v>
      </c>
      <c r="W55" s="37">
        <v>155.47153084868827</v>
      </c>
      <c r="X55" s="37">
        <v>148.6813302262656</v>
      </c>
      <c r="Y55" s="37">
        <v>116.94637599372066</v>
      </c>
      <c r="Z55" s="37">
        <v>130.21052332799783</v>
      </c>
      <c r="AA55" s="37">
        <v>207.9632745659454</v>
      </c>
      <c r="AB55" s="37">
        <v>134.06480417623871</v>
      </c>
      <c r="AC55" s="37">
        <v>157.72025424457283</v>
      </c>
      <c r="AD55" s="37">
        <v>123.49740410550217</v>
      </c>
      <c r="AE55" s="37">
        <v>129.87132006545554</v>
      </c>
      <c r="AF55" s="37">
        <v>135.09027396444185</v>
      </c>
      <c r="AG55" s="37">
        <v>99.06211339722843</v>
      </c>
      <c r="AH55" s="57"/>
    </row>
    <row r="56" spans="1:34" ht="15.75" x14ac:dyDescent="0.25">
      <c r="A56" s="246" t="str">
        <f>[1]СВОД!A121</f>
        <v>Социально-медицинские услуги</v>
      </c>
      <c r="B56" s="247"/>
      <c r="C56" s="247"/>
      <c r="D56" s="247"/>
      <c r="E56" s="248"/>
      <c r="F56" s="38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57"/>
    </row>
    <row r="57" spans="1:34" ht="30" x14ac:dyDescent="0.2">
      <c r="A57" s="62" t="s">
        <v>424</v>
      </c>
      <c r="B57" s="41" t="str">
        <f>[1]СВОД!B122</f>
        <v>1 услуга</v>
      </c>
      <c r="C57" s="41">
        <v>166.92</v>
      </c>
      <c r="D57" s="103">
        <v>212</v>
      </c>
      <c r="E57" s="170">
        <f>D57*1.04</f>
        <v>220.48000000000002</v>
      </c>
      <c r="F57" s="38">
        <v>86.495307116501863</v>
      </c>
      <c r="G57" s="37"/>
      <c r="H57" s="37"/>
      <c r="I57" s="37">
        <v>217.75252946827288</v>
      </c>
      <c r="J57" s="37"/>
      <c r="K57" s="37">
        <v>88.361876929138049</v>
      </c>
      <c r="L57" s="37">
        <v>59.237329296281246</v>
      </c>
      <c r="M57" s="37">
        <v>44.479286010808579</v>
      </c>
      <c r="N57" s="37"/>
      <c r="O57" s="37">
        <v>71.164354620565732</v>
      </c>
      <c r="P57" s="37">
        <v>74.286065800631889</v>
      </c>
      <c r="Q57" s="37">
        <v>62.426485363783584</v>
      </c>
      <c r="R57" s="37">
        <v>82.786137744107464</v>
      </c>
      <c r="S57" s="37">
        <v>80.615439797717016</v>
      </c>
      <c r="T57" s="37"/>
      <c r="U57" s="37">
        <v>50.457077758868508</v>
      </c>
      <c r="V57" s="37"/>
      <c r="W57" s="37"/>
      <c r="X57" s="37">
        <v>74.3406651131328</v>
      </c>
      <c r="Y57" s="37">
        <v>58.473187996860332</v>
      </c>
      <c r="Z57" s="37"/>
      <c r="AA57" s="37">
        <v>93.583473554675408</v>
      </c>
      <c r="AB57" s="37">
        <v>67.032402088119355</v>
      </c>
      <c r="AC57" s="37"/>
      <c r="AD57" s="37">
        <v>61.748702052751085</v>
      </c>
      <c r="AE57" s="37">
        <v>64.935686338096417</v>
      </c>
      <c r="AF57" s="37"/>
      <c r="AG57" s="37"/>
      <c r="AH57" s="57"/>
    </row>
    <row r="58" spans="1:34" ht="45" x14ac:dyDescent="0.2">
      <c r="A58" s="62" t="s">
        <v>430</v>
      </c>
      <c r="B58" s="41" t="s">
        <v>32</v>
      </c>
      <c r="C58" s="41"/>
      <c r="D58" s="103">
        <v>373</v>
      </c>
      <c r="E58" s="170">
        <f t="shared" ref="E58:E86" si="9">D58*1.04</f>
        <v>387.92</v>
      </c>
      <c r="F58" s="38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57"/>
    </row>
    <row r="59" spans="1:34" ht="30" x14ac:dyDescent="0.2">
      <c r="A59" s="112" t="s">
        <v>425</v>
      </c>
      <c r="B59" s="41" t="s">
        <v>32</v>
      </c>
      <c r="C59" s="41">
        <v>299.27</v>
      </c>
      <c r="D59" s="103">
        <v>378</v>
      </c>
      <c r="E59" s="170">
        <f t="shared" si="9"/>
        <v>393.12</v>
      </c>
      <c r="F59" s="38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57"/>
    </row>
    <row r="60" spans="1:34" ht="15.75" hidden="1" customHeight="1" outlineLevel="1" x14ac:dyDescent="0.2">
      <c r="A60" s="62" t="str">
        <f>[1]СВОД!A125</f>
        <v xml:space="preserve"> - общий массаж</v>
      </c>
      <c r="B60" s="41" t="str">
        <f>[1]СВОД!B125</f>
        <v>1 услуга</v>
      </c>
      <c r="C60" s="41">
        <v>299.27</v>
      </c>
      <c r="D60" s="103">
        <f t="shared" ref="D60:D84" si="10">ROUND(C60*1.1,0)</f>
        <v>329</v>
      </c>
      <c r="E60" s="170">
        <f t="shared" si="9"/>
        <v>342.16</v>
      </c>
      <c r="F60" s="38">
        <v>172.99061423300373</v>
      </c>
      <c r="G60" s="37"/>
      <c r="H60" s="37"/>
      <c r="I60" s="37">
        <v>294.40140430469251</v>
      </c>
      <c r="J60" s="37"/>
      <c r="K60" s="37"/>
      <c r="L60" s="37">
        <v>121.60491535768919</v>
      </c>
      <c r="M60" s="37"/>
      <c r="N60" s="37"/>
      <c r="O60" s="37">
        <v>142.32870924113146</v>
      </c>
      <c r="P60" s="37">
        <v>141.76297325955548</v>
      </c>
      <c r="Q60" s="37">
        <v>249.70563227958519</v>
      </c>
      <c r="R60" s="37">
        <v>144.19552464450311</v>
      </c>
      <c r="S60" s="37">
        <v>123.2120875719117</v>
      </c>
      <c r="T60" s="37"/>
      <c r="U60" s="37">
        <v>100.91415551773702</v>
      </c>
      <c r="V60" s="37"/>
      <c r="W60" s="37"/>
      <c r="X60" s="37"/>
      <c r="Y60" s="37">
        <v>116.94637599372066</v>
      </c>
      <c r="Z60" s="37"/>
      <c r="AA60" s="37">
        <v>187.16694710935082</v>
      </c>
      <c r="AB60" s="37"/>
      <c r="AC60" s="37">
        <v>157.72025424457283</v>
      </c>
      <c r="AD60" s="37">
        <v>123.49740410550217</v>
      </c>
      <c r="AE60" s="37"/>
      <c r="AF60" s="37"/>
      <c r="AG60" s="37"/>
      <c r="AH60" s="57"/>
    </row>
    <row r="61" spans="1:34" ht="32.25" hidden="1" customHeight="1" outlineLevel="1" x14ac:dyDescent="0.2">
      <c r="A61" s="62" t="str">
        <f>[1]СВОД!A126</f>
        <v>Проведение процедур лечебной гимнастики инструктором - методистом по лечебной физкультуре:</v>
      </c>
      <c r="B61" s="41"/>
      <c r="C61" s="41"/>
      <c r="D61" s="103">
        <f t="shared" si="10"/>
        <v>0</v>
      </c>
      <c r="E61" s="170">
        <f t="shared" si="9"/>
        <v>0</v>
      </c>
      <c r="F61" s="38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57"/>
    </row>
    <row r="62" spans="1:34" hidden="1" outlineLevel="1" x14ac:dyDescent="0.2">
      <c r="A62" s="62" t="str">
        <f>[1]СВОД!A127</f>
        <v>Для детей школьного возраста:</v>
      </c>
      <c r="B62" s="41"/>
      <c r="C62" s="41"/>
      <c r="D62" s="103">
        <f t="shared" si="10"/>
        <v>0</v>
      </c>
      <c r="E62" s="170">
        <f t="shared" si="9"/>
        <v>0</v>
      </c>
      <c r="F62" s="38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57"/>
    </row>
    <row r="63" spans="1:34" hidden="1" outlineLevel="1" x14ac:dyDescent="0.2">
      <c r="A63" s="62" t="str">
        <f>[1]СВОД!A128</f>
        <v xml:space="preserve"> - при индивидуальном методе занятий</v>
      </c>
      <c r="B63" s="41" t="str">
        <f>[1]СВОД!B128</f>
        <v>1 услуга</v>
      </c>
      <c r="C63" s="41"/>
      <c r="D63" s="103">
        <f t="shared" si="10"/>
        <v>0</v>
      </c>
      <c r="E63" s="170">
        <f t="shared" si="9"/>
        <v>0</v>
      </c>
      <c r="F63" s="38">
        <v>172.99061423300373</v>
      </c>
      <c r="G63" s="37"/>
      <c r="H63" s="37"/>
      <c r="I63" s="37">
        <v>358.56593284443636</v>
      </c>
      <c r="J63" s="37">
        <v>121.46922399490613</v>
      </c>
      <c r="K63" s="37"/>
      <c r="L63" s="37">
        <v>121.60491535768919</v>
      </c>
      <c r="M63" s="37"/>
      <c r="N63" s="37"/>
      <c r="O63" s="37">
        <v>142.32870924113146</v>
      </c>
      <c r="P63" s="37">
        <v>141.76297325955548</v>
      </c>
      <c r="Q63" s="37">
        <v>249.70563227958519</v>
      </c>
      <c r="R63" s="37">
        <v>137.34219107381747</v>
      </c>
      <c r="S63" s="37">
        <v>132.27422518616868</v>
      </c>
      <c r="T63" s="37">
        <v>129.30907848206954</v>
      </c>
      <c r="U63" s="37">
        <v>100.91415551773702</v>
      </c>
      <c r="V63" s="37"/>
      <c r="W63" s="37"/>
      <c r="X63" s="37"/>
      <c r="Y63" s="37">
        <v>116.94637599372066</v>
      </c>
      <c r="Z63" s="37"/>
      <c r="AA63" s="37">
        <v>187.16694710935082</v>
      </c>
      <c r="AB63" s="37"/>
      <c r="AC63" s="37">
        <v>157.72025424457283</v>
      </c>
      <c r="AD63" s="37">
        <v>143.90407701472884</v>
      </c>
      <c r="AE63" s="37"/>
      <c r="AF63" s="37"/>
      <c r="AG63" s="37"/>
      <c r="AH63" s="57"/>
    </row>
    <row r="64" spans="1:34" ht="15" hidden="1" customHeight="1" outlineLevel="1" x14ac:dyDescent="0.2">
      <c r="A64" s="62" t="str">
        <f>[1]СВОД!A129</f>
        <v xml:space="preserve"> - при групповом методе занятий ( 3 и более  человек ) </v>
      </c>
      <c r="B64" s="41" t="str">
        <f>[1]СВОД!B129</f>
        <v>1 услуга</v>
      </c>
      <c r="C64" s="41"/>
      <c r="D64" s="103">
        <f t="shared" si="10"/>
        <v>0</v>
      </c>
      <c r="E64" s="170">
        <f t="shared" si="9"/>
        <v>0</v>
      </c>
      <c r="F64" s="38">
        <v>76.884717436890554</v>
      </c>
      <c r="G64" s="37"/>
      <c r="H64" s="37"/>
      <c r="I64" s="37">
        <v>159.36263681974944</v>
      </c>
      <c r="J64" s="37">
        <v>53.986321775513851</v>
      </c>
      <c r="K64" s="37"/>
      <c r="L64" s="37">
        <v>54.04662904786187</v>
      </c>
      <c r="M64" s="37"/>
      <c r="N64" s="37"/>
      <c r="O64" s="37">
        <v>63.257204107169549</v>
      </c>
      <c r="P64" s="37">
        <v>63.005765893135766</v>
      </c>
      <c r="Q64" s="37">
        <v>110.98028101314895</v>
      </c>
      <c r="R64" s="37">
        <v>61.040973810585562</v>
      </c>
      <c r="S64" s="37">
        <v>58.788544527186076</v>
      </c>
      <c r="T64" s="37">
        <v>57.470701547586458</v>
      </c>
      <c r="U64" s="37">
        <v>44.850735785660902</v>
      </c>
      <c r="V64" s="37"/>
      <c r="W64" s="37"/>
      <c r="X64" s="37"/>
      <c r="Y64" s="37">
        <v>51.976167108320304</v>
      </c>
      <c r="Z64" s="37"/>
      <c r="AA64" s="37">
        <v>83.185309826378145</v>
      </c>
      <c r="AB64" s="37">
        <v>50.2081690512099</v>
      </c>
      <c r="AC64" s="37">
        <v>70.097890775365713</v>
      </c>
      <c r="AD64" s="37">
        <v>63.957367562101716</v>
      </c>
      <c r="AE64" s="37"/>
      <c r="AF64" s="37"/>
      <c r="AG64" s="37"/>
      <c r="AH64" s="57"/>
    </row>
    <row r="65" spans="1:34" hidden="1" outlineLevel="1" x14ac:dyDescent="0.2">
      <c r="A65" s="62" t="str">
        <f>[1]СВОД!A130</f>
        <v>Для детей дошкольного возраста:</v>
      </c>
      <c r="B65" s="41"/>
      <c r="C65" s="41"/>
      <c r="D65" s="103">
        <f t="shared" si="10"/>
        <v>0</v>
      </c>
      <c r="E65" s="170">
        <f t="shared" si="9"/>
        <v>0</v>
      </c>
      <c r="F65" s="38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57"/>
    </row>
    <row r="66" spans="1:34" hidden="1" outlineLevel="1" x14ac:dyDescent="0.2">
      <c r="A66" s="62" t="str">
        <f>[1]СВОД!A131</f>
        <v xml:space="preserve"> - при индивидуальном методе занятий</v>
      </c>
      <c r="B66" s="41" t="str">
        <f>[1]СВОД!B131</f>
        <v>1 услуга</v>
      </c>
      <c r="C66" s="41"/>
      <c r="D66" s="103">
        <f t="shared" si="10"/>
        <v>0</v>
      </c>
      <c r="E66" s="170">
        <f t="shared" si="9"/>
        <v>0</v>
      </c>
      <c r="F66" s="38">
        <v>115.32707615533583</v>
      </c>
      <c r="G66" s="37"/>
      <c r="H66" s="37"/>
      <c r="I66" s="37">
        <v>239.04395522962417</v>
      </c>
      <c r="J66" s="37">
        <v>80.979482663270772</v>
      </c>
      <c r="K66" s="37"/>
      <c r="L66" s="37">
        <v>81.069943571792805</v>
      </c>
      <c r="M66" s="37"/>
      <c r="N66" s="37"/>
      <c r="O66" s="37">
        <v>94.885806160754328</v>
      </c>
      <c r="P66" s="37">
        <v>94.508648839703653</v>
      </c>
      <c r="Q66" s="37">
        <v>166.47042151972343</v>
      </c>
      <c r="R66" s="37">
        <v>91.56146071587834</v>
      </c>
      <c r="S66" s="37">
        <v>88.182816790779114</v>
      </c>
      <c r="T66" s="37">
        <v>86.206052321379687</v>
      </c>
      <c r="U66" s="37">
        <v>67.276103678491353</v>
      </c>
      <c r="V66" s="37"/>
      <c r="W66" s="37"/>
      <c r="X66" s="37"/>
      <c r="Y66" s="37">
        <v>77.964250662480453</v>
      </c>
      <c r="Z66" s="37"/>
      <c r="AA66" s="37">
        <v>124.77796473956722</v>
      </c>
      <c r="AB66" s="37"/>
      <c r="AC66" s="37">
        <v>105.14683616304856</v>
      </c>
      <c r="AD66" s="37">
        <v>95.93605134315257</v>
      </c>
      <c r="AE66" s="37"/>
      <c r="AF66" s="37"/>
      <c r="AG66" s="37"/>
      <c r="AH66" s="57"/>
    </row>
    <row r="67" spans="1:34" hidden="1" outlineLevel="1" x14ac:dyDescent="0.2">
      <c r="A67" s="62" t="str">
        <f>[1]СВОД!A132</f>
        <v xml:space="preserve"> - при групповом методе занятий ( 5 чел. ) </v>
      </c>
      <c r="B67" s="41" t="str">
        <f>[1]СВОД!B132</f>
        <v>1 услуга</v>
      </c>
      <c r="C67" s="41"/>
      <c r="D67" s="103">
        <f t="shared" si="10"/>
        <v>0</v>
      </c>
      <c r="E67" s="170">
        <f t="shared" si="9"/>
        <v>0</v>
      </c>
      <c r="F67" s="38">
        <v>34.598122846600745</v>
      </c>
      <c r="G67" s="37"/>
      <c r="H67" s="37"/>
      <c r="I67" s="37">
        <v>71.713186568887267</v>
      </c>
      <c r="J67" s="37">
        <v>24.293844798981226</v>
      </c>
      <c r="K67" s="37"/>
      <c r="L67" s="37">
        <v>24.320983071537839</v>
      </c>
      <c r="M67" s="37"/>
      <c r="N67" s="37"/>
      <c r="O67" s="37">
        <v>28.465741848226294</v>
      </c>
      <c r="P67" s="37">
        <v>28.352594651911097</v>
      </c>
      <c r="Q67" s="37">
        <v>49.941126455917036</v>
      </c>
      <c r="R67" s="37">
        <v>27.468438214763495</v>
      </c>
      <c r="S67" s="37">
        <v>26.454845037233735</v>
      </c>
      <c r="T67" s="37">
        <v>25.861815696413906</v>
      </c>
      <c r="U67" s="37">
        <v>20.182831103547404</v>
      </c>
      <c r="V67" s="37"/>
      <c r="W67" s="37"/>
      <c r="X67" s="37"/>
      <c r="Y67" s="37">
        <v>23.389275198744134</v>
      </c>
      <c r="Z67" s="37"/>
      <c r="AA67" s="37">
        <v>37.43338942187016</v>
      </c>
      <c r="AB67" s="37">
        <v>22.593676073044456</v>
      </c>
      <c r="AC67" s="37"/>
      <c r="AD67" s="37">
        <v>28.78081540294577</v>
      </c>
      <c r="AE67" s="37"/>
      <c r="AF67" s="37"/>
      <c r="AG67" s="37"/>
      <c r="AH67" s="57"/>
    </row>
    <row r="68" spans="1:34" ht="30" hidden="1" outlineLevel="1" x14ac:dyDescent="0.2">
      <c r="A68" s="62" t="str">
        <f>[1]СВОД!A133</f>
        <v xml:space="preserve">Обучающее занятие адаптивной физической культуре( индивидуально)   </v>
      </c>
      <c r="B68" s="41" t="str">
        <f>[1]СВОД!B133</f>
        <v>1 услуга</v>
      </c>
      <c r="C68" s="41"/>
      <c r="D68" s="103">
        <f t="shared" si="10"/>
        <v>0</v>
      </c>
      <c r="E68" s="170">
        <f t="shared" si="9"/>
        <v>0</v>
      </c>
      <c r="F68" s="38">
        <v>86.495307116501863</v>
      </c>
      <c r="G68" s="37"/>
      <c r="H68" s="37"/>
      <c r="I68" s="37">
        <v>179.28296642221818</v>
      </c>
      <c r="J68" s="37">
        <v>60.734611997453065</v>
      </c>
      <c r="K68" s="37">
        <v>81.173381084520145</v>
      </c>
      <c r="L68" s="37">
        <v>60.802457678844597</v>
      </c>
      <c r="M68" s="37"/>
      <c r="N68" s="37"/>
      <c r="O68" s="37">
        <v>71.164354620565732</v>
      </c>
      <c r="P68" s="37">
        <v>70.88148662977774</v>
      </c>
      <c r="Q68" s="37">
        <v>124.85281613979259</v>
      </c>
      <c r="R68" s="37">
        <v>68.671095536908737</v>
      </c>
      <c r="S68" s="37">
        <v>66.137112593084339</v>
      </c>
      <c r="T68" s="37">
        <v>64.654539241034769</v>
      </c>
      <c r="U68" s="37">
        <v>50.457077758868508</v>
      </c>
      <c r="V68" s="37">
        <v>69.547971196674624</v>
      </c>
      <c r="W68" s="37"/>
      <c r="X68" s="37">
        <v>76.485849369959084</v>
      </c>
      <c r="Y68" s="37">
        <v>58.473187996860332</v>
      </c>
      <c r="Z68" s="37"/>
      <c r="AA68" s="37">
        <v>93.583473554675408</v>
      </c>
      <c r="AB68" s="37"/>
      <c r="AC68" s="37">
        <v>78.860127122286414</v>
      </c>
      <c r="AD68" s="37">
        <v>71.952038507364421</v>
      </c>
      <c r="AE68" s="37">
        <v>49.951103513847606</v>
      </c>
      <c r="AF68" s="37"/>
      <c r="AG68" s="37"/>
      <c r="AH68" s="57"/>
    </row>
    <row r="69" spans="1:34" ht="30" hidden="1" outlineLevel="1" x14ac:dyDescent="0.2">
      <c r="A69" s="62" t="str">
        <f>[1]СВОД!A134</f>
        <v>Обучающее занятие адаптивной физической культуре (групповые - 2 чел. )</v>
      </c>
      <c r="B69" s="41" t="str">
        <f>[1]СВОД!B134</f>
        <v>1 услуга</v>
      </c>
      <c r="C69" s="41"/>
      <c r="D69" s="103">
        <f t="shared" si="10"/>
        <v>0</v>
      </c>
      <c r="E69" s="170">
        <f t="shared" si="9"/>
        <v>0</v>
      </c>
      <c r="F69" s="38">
        <v>43.247653558250931</v>
      </c>
      <c r="G69" s="37"/>
      <c r="H69" s="37"/>
      <c r="I69" s="37">
        <v>89.64148321110909</v>
      </c>
      <c r="J69" s="37">
        <v>30.367305998726533</v>
      </c>
      <c r="K69" s="37">
        <v>40.586690542260072</v>
      </c>
      <c r="L69" s="37">
        <v>30.401228839422298</v>
      </c>
      <c r="M69" s="37"/>
      <c r="N69" s="37"/>
      <c r="O69" s="37">
        <v>35.582177310282866</v>
      </c>
      <c r="P69" s="37">
        <v>35.44074331488887</v>
      </c>
      <c r="Q69" s="37">
        <v>62.426408069896297</v>
      </c>
      <c r="R69" s="37">
        <v>34.335547768454369</v>
      </c>
      <c r="S69" s="37">
        <v>33.06855629654217</v>
      </c>
      <c r="T69" s="37">
        <v>32.327269620517384</v>
      </c>
      <c r="U69" s="37">
        <v>25.228538879434254</v>
      </c>
      <c r="V69" s="37">
        <f>69.5479711966746/2</f>
        <v>34.773985598337298</v>
      </c>
      <c r="W69" s="37"/>
      <c r="X69" s="37">
        <v>38.242924684979542</v>
      </c>
      <c r="Y69" s="37">
        <v>29.236593998430166</v>
      </c>
      <c r="Z69" s="37"/>
      <c r="AA69" s="37">
        <v>46.791736777337704</v>
      </c>
      <c r="AB69" s="37"/>
      <c r="AC69" s="37">
        <v>39.430063561143207</v>
      </c>
      <c r="AD69" s="37">
        <v>35.97601925368221</v>
      </c>
      <c r="AE69" s="37">
        <v>49.951103513847606</v>
      </c>
      <c r="AF69" s="37"/>
      <c r="AG69" s="37"/>
      <c r="AH69" s="57"/>
    </row>
    <row r="70" spans="1:34" ht="30" hidden="1" outlineLevel="1" x14ac:dyDescent="0.2">
      <c r="A70" s="62" t="str">
        <f>[1]СВОД!A135</f>
        <v>Занятия в группе настольного тенниса ( индивидуально )</v>
      </c>
      <c r="B70" s="41" t="str">
        <f>[1]СВОД!B135</f>
        <v>1 услуга</v>
      </c>
      <c r="C70" s="41"/>
      <c r="D70" s="103">
        <f t="shared" si="10"/>
        <v>0</v>
      </c>
      <c r="E70" s="170">
        <f t="shared" si="9"/>
        <v>0</v>
      </c>
      <c r="F70" s="38">
        <v>172.99061423300373</v>
      </c>
      <c r="G70" s="37"/>
      <c r="H70" s="37"/>
      <c r="I70" s="37">
        <v>358.56584307849829</v>
      </c>
      <c r="J70" s="37">
        <v>121.46922399490613</v>
      </c>
      <c r="K70" s="37">
        <v>162.34676216904029</v>
      </c>
      <c r="L70" s="37">
        <v>121.60491535768919</v>
      </c>
      <c r="M70" s="37"/>
      <c r="N70" s="37"/>
      <c r="O70" s="37">
        <v>142.32870924113146</v>
      </c>
      <c r="P70" s="37">
        <v>141.76297325955548</v>
      </c>
      <c r="Q70" s="37">
        <v>249.70563227958519</v>
      </c>
      <c r="R70" s="37"/>
      <c r="S70" s="37">
        <v>132.27422518616868</v>
      </c>
      <c r="T70" s="37">
        <v>129.30907848206954</v>
      </c>
      <c r="U70" s="37">
        <v>100.91415551773702</v>
      </c>
      <c r="V70" s="37">
        <v>139.09594239334925</v>
      </c>
      <c r="W70" s="37"/>
      <c r="X70" s="37"/>
      <c r="Y70" s="37">
        <v>116.94637599372066</v>
      </c>
      <c r="Z70" s="37"/>
      <c r="AA70" s="37">
        <v>187.16694710935082</v>
      </c>
      <c r="AB70" s="37"/>
      <c r="AC70" s="37"/>
      <c r="AD70" s="37"/>
      <c r="AE70" s="37">
        <v>99.902207027695212</v>
      </c>
      <c r="AF70" s="37"/>
      <c r="AG70" s="37"/>
      <c r="AH70" s="57"/>
    </row>
    <row r="71" spans="1:34" ht="30" hidden="1" outlineLevel="1" x14ac:dyDescent="0.2">
      <c r="A71" s="62" t="str">
        <f>[1]СВОД!A136</f>
        <v xml:space="preserve">Занятия в группе настольного тенниса ( групповые - 2 чел. ) </v>
      </c>
      <c r="B71" s="41" t="str">
        <f>[1]СВОД!B136</f>
        <v>1 услуга</v>
      </c>
      <c r="C71" s="41"/>
      <c r="D71" s="103">
        <f t="shared" si="10"/>
        <v>0</v>
      </c>
      <c r="E71" s="170">
        <f t="shared" si="9"/>
        <v>0</v>
      </c>
      <c r="F71" s="38">
        <v>115.32707615533583</v>
      </c>
      <c r="G71" s="37"/>
      <c r="H71" s="37"/>
      <c r="I71" s="37">
        <v>239.04389538566548</v>
      </c>
      <c r="J71" s="37">
        <v>80.979482663270772</v>
      </c>
      <c r="K71" s="37">
        <v>108.2311747793602</v>
      </c>
      <c r="L71" s="37">
        <v>81.069943571792805</v>
      </c>
      <c r="M71" s="37"/>
      <c r="N71" s="37"/>
      <c r="O71" s="37">
        <v>94.885806160754328</v>
      </c>
      <c r="P71" s="37">
        <v>94.508648839703653</v>
      </c>
      <c r="Q71" s="37">
        <v>166.47042151972343</v>
      </c>
      <c r="R71" s="37"/>
      <c r="S71" s="37">
        <v>88.182816790779114</v>
      </c>
      <c r="T71" s="37">
        <v>86.206052321379687</v>
      </c>
      <c r="U71" s="37">
        <v>67.276103678491353</v>
      </c>
      <c r="V71" s="37">
        <f>185.461256524466/2</f>
        <v>92.730628262232997</v>
      </c>
      <c r="W71" s="37"/>
      <c r="X71" s="37"/>
      <c r="Y71" s="37">
        <v>77.964250662480453</v>
      </c>
      <c r="Z71" s="37"/>
      <c r="AA71" s="37">
        <f>124.777964739567/2</f>
        <v>62.388982369783498</v>
      </c>
      <c r="AB71" s="37"/>
      <c r="AC71" s="37"/>
      <c r="AD71" s="37"/>
      <c r="AE71" s="37">
        <f>133.202942703594/2</f>
        <v>66.601471351797002</v>
      </c>
      <c r="AF71" s="37"/>
      <c r="AG71" s="37"/>
      <c r="AH71" s="57"/>
    </row>
    <row r="72" spans="1:34" ht="14.25" hidden="1" customHeight="1" outlineLevel="1" x14ac:dyDescent="0.2">
      <c r="A72" s="62" t="str">
        <f>[1]СВОД!A137</f>
        <v>Пальчиковая гимнастика ( групповые занятия – 3 чел. )</v>
      </c>
      <c r="B72" s="41" t="str">
        <f>[1]СВОД!B137</f>
        <v>1 услуга</v>
      </c>
      <c r="C72" s="41"/>
      <c r="D72" s="103">
        <f t="shared" si="10"/>
        <v>0</v>
      </c>
      <c r="E72" s="170">
        <f t="shared" si="9"/>
        <v>0</v>
      </c>
      <c r="F72" s="38">
        <v>57.663538077667909</v>
      </c>
      <c r="G72" s="37"/>
      <c r="H72" s="37"/>
      <c r="I72" s="37">
        <v>119.52194769283277</v>
      </c>
      <c r="J72" s="37">
        <v>40.489741331635379</v>
      </c>
      <c r="K72" s="37">
        <v>58.907917952758702</v>
      </c>
      <c r="L72" s="37">
        <v>40.534971785896396</v>
      </c>
      <c r="M72" s="37"/>
      <c r="N72" s="37"/>
      <c r="O72" s="37">
        <v>47.442903080377157</v>
      </c>
      <c r="P72" s="37">
        <v>47.254324419851827</v>
      </c>
      <c r="Q72" s="37">
        <v>83.235210759861729</v>
      </c>
      <c r="R72" s="37">
        <v>45.780730357939156</v>
      </c>
      <c r="S72" s="37">
        <v>44.091408395389557</v>
      </c>
      <c r="T72" s="37">
        <v>43.103026160689843</v>
      </c>
      <c r="U72" s="37">
        <v>33.638051839245669</v>
      </c>
      <c r="V72" s="37">
        <f>139.095942393349/3</f>
        <v>46.365314131116328</v>
      </c>
      <c r="W72" s="37"/>
      <c r="X72" s="37">
        <v>50.990566246639389</v>
      </c>
      <c r="Y72" s="37">
        <v>38.982125331240219</v>
      </c>
      <c r="Z72" s="37"/>
      <c r="AA72" s="37">
        <f>62.3889823697836/3</f>
        <v>20.796327456594533</v>
      </c>
      <c r="AB72" s="37"/>
      <c r="AC72" s="37">
        <v>52.573418081524274</v>
      </c>
      <c r="AD72" s="37">
        <v>47.968025671576278</v>
      </c>
      <c r="AE72" s="37">
        <f>99.9022070276952/3</f>
        <v>33.300735675898402</v>
      </c>
      <c r="AF72" s="37"/>
      <c r="AG72" s="37"/>
      <c r="AH72" s="57"/>
    </row>
    <row r="73" spans="1:34" hidden="1" outlineLevel="1" x14ac:dyDescent="0.2">
      <c r="A73" s="62" t="str">
        <f>[1]СВОД!A138</f>
        <v xml:space="preserve">Приём врача - физиотерапевта      </v>
      </c>
      <c r="B73" s="41" t="str">
        <f>[1]СВОД!B138</f>
        <v>1 услуга</v>
      </c>
      <c r="C73" s="41"/>
      <c r="D73" s="103">
        <f t="shared" si="10"/>
        <v>0</v>
      </c>
      <c r="E73" s="170">
        <f t="shared" si="9"/>
        <v>0</v>
      </c>
      <c r="F73" s="38">
        <v>115.32707615533583</v>
      </c>
      <c r="G73" s="37"/>
      <c r="H73" s="37"/>
      <c r="I73" s="37">
        <v>270.98092556051733</v>
      </c>
      <c r="J73" s="37"/>
      <c r="K73" s="37"/>
      <c r="L73" s="37"/>
      <c r="M73" s="37"/>
      <c r="N73" s="37"/>
      <c r="O73" s="37">
        <v>94.885806160754328</v>
      </c>
      <c r="P73" s="37">
        <v>99.048087734175851</v>
      </c>
      <c r="Q73" s="37"/>
      <c r="R73" s="37"/>
      <c r="S73" s="37">
        <v>93.675593119948985</v>
      </c>
      <c r="T73" s="37"/>
      <c r="U73" s="37">
        <v>67.276103678491353</v>
      </c>
      <c r="V73" s="37"/>
      <c r="W73" s="37"/>
      <c r="X73" s="37"/>
      <c r="Y73" s="37">
        <v>77.964250662480453</v>
      </c>
      <c r="Z73" s="37"/>
      <c r="AA73" s="37">
        <v>124.77796473956722</v>
      </c>
      <c r="AB73" s="37"/>
      <c r="AC73" s="37"/>
      <c r="AD73" s="37"/>
      <c r="AE73" s="37"/>
      <c r="AF73" s="37"/>
      <c r="AG73" s="37"/>
      <c r="AH73" s="57"/>
    </row>
    <row r="74" spans="1:34" hidden="1" outlineLevel="1" x14ac:dyDescent="0.2">
      <c r="A74" s="62" t="str">
        <f>[1]СВОД!A139</f>
        <v>Амплипульстерапия</v>
      </c>
      <c r="B74" s="41" t="str">
        <f>[1]СВОД!B139</f>
        <v>1 услуга</v>
      </c>
      <c r="C74" s="41"/>
      <c r="D74" s="103">
        <f t="shared" si="10"/>
        <v>0</v>
      </c>
      <c r="E74" s="170">
        <f t="shared" si="9"/>
        <v>0</v>
      </c>
      <c r="F74" s="38">
        <v>86.495307116501863</v>
      </c>
      <c r="G74" s="37"/>
      <c r="H74" s="37"/>
      <c r="I74" s="37">
        <v>188.41690869830705</v>
      </c>
      <c r="J74" s="37"/>
      <c r="K74" s="37"/>
      <c r="L74" s="37"/>
      <c r="M74" s="37"/>
      <c r="N74" s="37"/>
      <c r="O74" s="37">
        <v>71.164354620565732</v>
      </c>
      <c r="P74" s="37"/>
      <c r="Q74" s="37"/>
      <c r="R74" s="37"/>
      <c r="S74" s="37">
        <v>80.615439797717016</v>
      </c>
      <c r="T74" s="37"/>
      <c r="U74" s="37">
        <v>50.457077758868508</v>
      </c>
      <c r="V74" s="37"/>
      <c r="W74" s="37"/>
      <c r="X74" s="37"/>
      <c r="Y74" s="37">
        <v>58.473187996860332</v>
      </c>
      <c r="Z74" s="37"/>
      <c r="AA74" s="37">
        <v>93.583473554675408</v>
      </c>
      <c r="AB74" s="37"/>
      <c r="AC74" s="37"/>
      <c r="AD74" s="37"/>
      <c r="AE74" s="37"/>
      <c r="AF74" s="37"/>
      <c r="AG74" s="37"/>
      <c r="AH74" s="57"/>
    </row>
    <row r="75" spans="1:34" hidden="1" outlineLevel="1" x14ac:dyDescent="0.2">
      <c r="A75" s="62" t="str">
        <f>[1]СВОД!A140</f>
        <v>Дарсонвализация:</v>
      </c>
      <c r="B75" s="41" t="str">
        <f>[1]СВОД!B140</f>
        <v>1 услуга</v>
      </c>
      <c r="C75" s="41"/>
      <c r="D75" s="103">
        <f t="shared" si="10"/>
        <v>0</v>
      </c>
      <c r="E75" s="170">
        <f t="shared" si="9"/>
        <v>0</v>
      </c>
      <c r="F75" s="38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57"/>
    </row>
    <row r="76" spans="1:34" ht="30" hidden="1" outlineLevel="1" x14ac:dyDescent="0.2">
      <c r="A76" s="62" t="str">
        <f>[1]СВОД!A141</f>
        <v xml:space="preserve"> - местная ( голова, шейно-воротниковая зона )</v>
      </c>
      <c r="B76" s="41" t="str">
        <f>[1]СВОД!B141</f>
        <v>1 услуга</v>
      </c>
      <c r="C76" s="41"/>
      <c r="D76" s="103">
        <f t="shared" si="10"/>
        <v>0</v>
      </c>
      <c r="E76" s="170">
        <f t="shared" si="9"/>
        <v>0</v>
      </c>
      <c r="F76" s="38">
        <v>86.495307116501863</v>
      </c>
      <c r="G76" s="37"/>
      <c r="H76" s="37"/>
      <c r="I76" s="37">
        <v>376.83381739661411</v>
      </c>
      <c r="J76" s="37"/>
      <c r="K76" s="37"/>
      <c r="L76" s="37"/>
      <c r="M76" s="37"/>
      <c r="N76" s="37"/>
      <c r="O76" s="37">
        <v>71.164354620565732</v>
      </c>
      <c r="P76" s="37"/>
      <c r="Q76" s="37"/>
      <c r="R76" s="37"/>
      <c r="S76" s="37">
        <v>80.615439797717016</v>
      </c>
      <c r="T76" s="37"/>
      <c r="U76" s="37">
        <v>50.457077758868508</v>
      </c>
      <c r="V76" s="37"/>
      <c r="W76" s="37"/>
      <c r="X76" s="37"/>
      <c r="Y76" s="37">
        <v>58.473187996860332</v>
      </c>
      <c r="Z76" s="37"/>
      <c r="AA76" s="37">
        <v>93.583473554675408</v>
      </c>
      <c r="AB76" s="37"/>
      <c r="AC76" s="37"/>
      <c r="AD76" s="37"/>
      <c r="AE76" s="37"/>
      <c r="AF76" s="37"/>
      <c r="AG76" s="37"/>
      <c r="AH76" s="57"/>
    </row>
    <row r="77" spans="1:34" hidden="1" outlineLevel="1" x14ac:dyDescent="0.2">
      <c r="A77" s="62" t="str">
        <f>[1]СВОД!A142</f>
        <v xml:space="preserve"> - полостная ( нос, ухо )</v>
      </c>
      <c r="B77" s="41" t="str">
        <f>[1]СВОД!B142</f>
        <v>1 услуга</v>
      </c>
      <c r="C77" s="41"/>
      <c r="D77" s="103">
        <f t="shared" si="10"/>
        <v>0</v>
      </c>
      <c r="E77" s="170">
        <f t="shared" si="9"/>
        <v>0</v>
      </c>
      <c r="F77" s="38">
        <v>86.495307116501863</v>
      </c>
      <c r="G77" s="37"/>
      <c r="H77" s="37"/>
      <c r="I77" s="37">
        <v>376.83381739661411</v>
      </c>
      <c r="J77" s="37"/>
      <c r="K77" s="37"/>
      <c r="L77" s="37"/>
      <c r="M77" s="37"/>
      <c r="N77" s="37"/>
      <c r="O77" s="37">
        <v>71.164354620565732</v>
      </c>
      <c r="P77" s="37"/>
      <c r="Q77" s="37"/>
      <c r="R77" s="37"/>
      <c r="S77" s="37">
        <v>80.615439797717016</v>
      </c>
      <c r="T77" s="37"/>
      <c r="U77" s="37">
        <v>50.457077758868508</v>
      </c>
      <c r="V77" s="37"/>
      <c r="W77" s="37"/>
      <c r="X77" s="37"/>
      <c r="Y77" s="37">
        <v>58.473187996860332</v>
      </c>
      <c r="Z77" s="37"/>
      <c r="AA77" s="37">
        <v>93.583473554675408</v>
      </c>
      <c r="AB77" s="37"/>
      <c r="AC77" s="37"/>
      <c r="AD77" s="37"/>
      <c r="AE77" s="37"/>
      <c r="AF77" s="37"/>
      <c r="AG77" s="37"/>
      <c r="AH77" s="57"/>
    </row>
    <row r="78" spans="1:34" hidden="1" outlineLevel="1" x14ac:dyDescent="0.2">
      <c r="A78" s="62" t="str">
        <f>[1]СВОД!A143</f>
        <v>Магнитотерапия</v>
      </c>
      <c r="B78" s="41" t="str">
        <f>[1]СВОД!B143</f>
        <v>1 услуга</v>
      </c>
      <c r="C78" s="41"/>
      <c r="D78" s="103">
        <f t="shared" si="10"/>
        <v>0</v>
      </c>
      <c r="E78" s="170">
        <f t="shared" si="9"/>
        <v>0</v>
      </c>
      <c r="F78" s="38">
        <v>115.32707615533583</v>
      </c>
      <c r="G78" s="37"/>
      <c r="H78" s="37"/>
      <c r="I78" s="37">
        <v>502.44508986215226</v>
      </c>
      <c r="J78" s="37"/>
      <c r="K78" s="37"/>
      <c r="L78" s="37"/>
      <c r="M78" s="37"/>
      <c r="N78" s="37"/>
      <c r="O78" s="37">
        <v>94.885806160754328</v>
      </c>
      <c r="P78" s="37"/>
      <c r="Q78" s="37"/>
      <c r="R78" s="37"/>
      <c r="S78" s="37">
        <v>107.48725306362272</v>
      </c>
      <c r="T78" s="37"/>
      <c r="U78" s="37">
        <v>67.276103678491353</v>
      </c>
      <c r="V78" s="37"/>
      <c r="W78" s="37"/>
      <c r="X78" s="37"/>
      <c r="Y78" s="37">
        <v>77.964250662480453</v>
      </c>
      <c r="Z78" s="37"/>
      <c r="AA78" s="37">
        <v>124.77796473956722</v>
      </c>
      <c r="AB78" s="37"/>
      <c r="AC78" s="37"/>
      <c r="AD78" s="37"/>
      <c r="AE78" s="37"/>
      <c r="AF78" s="37"/>
      <c r="AG78" s="37"/>
      <c r="AH78" s="57"/>
    </row>
    <row r="79" spans="1:34" hidden="1" outlineLevel="1" x14ac:dyDescent="0.2">
      <c r="A79" s="62" t="str">
        <f>[1]СВОД!A144</f>
        <v>Лазеротерапия</v>
      </c>
      <c r="B79" s="41" t="str">
        <f>[1]СВОД!B144</f>
        <v>1 услуга</v>
      </c>
      <c r="C79" s="41"/>
      <c r="D79" s="103">
        <f t="shared" si="10"/>
        <v>0</v>
      </c>
      <c r="E79" s="170">
        <f t="shared" si="9"/>
        <v>0</v>
      </c>
      <c r="F79" s="38">
        <v>115.32707615533583</v>
      </c>
      <c r="G79" s="37"/>
      <c r="H79" s="37"/>
      <c r="I79" s="37">
        <v>502.44508986215226</v>
      </c>
      <c r="J79" s="37"/>
      <c r="K79" s="37"/>
      <c r="L79" s="37"/>
      <c r="M79" s="37"/>
      <c r="N79" s="37"/>
      <c r="O79" s="37">
        <v>94.885806160754328</v>
      </c>
      <c r="P79" s="37"/>
      <c r="Q79" s="37"/>
      <c r="R79" s="37"/>
      <c r="S79" s="37">
        <v>107.48725306362272</v>
      </c>
      <c r="T79" s="37"/>
      <c r="U79" s="37">
        <v>67.276103678491353</v>
      </c>
      <c r="V79" s="37"/>
      <c r="W79" s="37"/>
      <c r="X79" s="37"/>
      <c r="Y79" s="37">
        <v>77.964250662480453</v>
      </c>
      <c r="Z79" s="37"/>
      <c r="AA79" s="37">
        <v>124.77796473956722</v>
      </c>
      <c r="AB79" s="37"/>
      <c r="AC79" s="37"/>
      <c r="AD79" s="37"/>
      <c r="AE79" s="37"/>
      <c r="AF79" s="37"/>
      <c r="AG79" s="37"/>
      <c r="AH79" s="57"/>
    </row>
    <row r="80" spans="1:34" hidden="1" outlineLevel="1" x14ac:dyDescent="0.2">
      <c r="A80" s="62" t="str">
        <f>[1]СВОД!A145</f>
        <v>КВЧ терапия</v>
      </c>
      <c r="B80" s="41" t="str">
        <f>[1]СВОД!B145</f>
        <v>1 услуга</v>
      </c>
      <c r="C80" s="41"/>
      <c r="D80" s="103">
        <f t="shared" si="10"/>
        <v>0</v>
      </c>
      <c r="E80" s="170">
        <f t="shared" si="9"/>
        <v>0</v>
      </c>
      <c r="F80" s="38">
        <v>86.495307116501863</v>
      </c>
      <c r="G80" s="37"/>
      <c r="H80" s="37"/>
      <c r="I80" s="37">
        <v>376.83381739661411</v>
      </c>
      <c r="J80" s="37"/>
      <c r="K80" s="37"/>
      <c r="L80" s="37"/>
      <c r="M80" s="37"/>
      <c r="N80" s="37"/>
      <c r="O80" s="37">
        <v>71.164354620565732</v>
      </c>
      <c r="P80" s="37"/>
      <c r="Q80" s="37"/>
      <c r="R80" s="37"/>
      <c r="S80" s="37">
        <v>80.615439797717016</v>
      </c>
      <c r="T80" s="37"/>
      <c r="U80" s="37">
        <v>50.457077758868508</v>
      </c>
      <c r="V80" s="37"/>
      <c r="W80" s="37"/>
      <c r="X80" s="37"/>
      <c r="Y80" s="37">
        <v>58.473187996860332</v>
      </c>
      <c r="Z80" s="37"/>
      <c r="AA80" s="37">
        <v>93.583473554675408</v>
      </c>
      <c r="AB80" s="37"/>
      <c r="AC80" s="37"/>
      <c r="AD80" s="37"/>
      <c r="AE80" s="37"/>
      <c r="AF80" s="37"/>
      <c r="AG80" s="37"/>
      <c r="AH80" s="57"/>
    </row>
    <row r="81" spans="1:34" hidden="1" outlineLevel="1" x14ac:dyDescent="0.2">
      <c r="A81" s="62" t="str">
        <f>[1]СВОД!A146</f>
        <v>УВЧ терапия</v>
      </c>
      <c r="B81" s="41" t="str">
        <f>[1]СВОД!B146</f>
        <v>1 услуга</v>
      </c>
      <c r="C81" s="41"/>
      <c r="D81" s="103">
        <f t="shared" si="10"/>
        <v>0</v>
      </c>
      <c r="E81" s="170">
        <f t="shared" si="9"/>
        <v>0</v>
      </c>
      <c r="F81" s="38">
        <v>57.663538077667916</v>
      </c>
      <c r="G81" s="37"/>
      <c r="H81" s="37"/>
      <c r="I81" s="37">
        <v>251.22254493107613</v>
      </c>
      <c r="J81" s="37"/>
      <c r="K81" s="37"/>
      <c r="L81" s="37"/>
      <c r="M81" s="37"/>
      <c r="N81" s="37"/>
      <c r="O81" s="37">
        <v>47.442903080377164</v>
      </c>
      <c r="P81" s="37"/>
      <c r="Q81" s="37"/>
      <c r="R81" s="37"/>
      <c r="S81" s="37">
        <v>53.743626531811358</v>
      </c>
      <c r="T81" s="37"/>
      <c r="U81" s="37">
        <v>33.638051839245676</v>
      </c>
      <c r="V81" s="37"/>
      <c r="W81" s="37"/>
      <c r="X81" s="37"/>
      <c r="Y81" s="37">
        <v>38.982125331240226</v>
      </c>
      <c r="Z81" s="37"/>
      <c r="AA81" s="37">
        <v>62.388982369783612</v>
      </c>
      <c r="AB81" s="37"/>
      <c r="AC81" s="37"/>
      <c r="AD81" s="37"/>
      <c r="AE81" s="37"/>
      <c r="AF81" s="37"/>
      <c r="AG81" s="37"/>
      <c r="AH81" s="57"/>
    </row>
    <row r="82" spans="1:34" hidden="1" outlineLevel="1" x14ac:dyDescent="0.2">
      <c r="A82" s="62" t="str">
        <f>[1]СВОД!A147</f>
        <v>Ультразвуковая терапия</v>
      </c>
      <c r="B82" s="41" t="str">
        <f>[1]СВОД!B147</f>
        <v>1 услуга</v>
      </c>
      <c r="C82" s="41"/>
      <c r="D82" s="103">
        <f t="shared" si="10"/>
        <v>0</v>
      </c>
      <c r="E82" s="170">
        <f t="shared" si="9"/>
        <v>0</v>
      </c>
      <c r="F82" s="38">
        <v>86.495307116501863</v>
      </c>
      <c r="G82" s="37"/>
      <c r="H82" s="37"/>
      <c r="I82" s="37">
        <v>376.83381739661411</v>
      </c>
      <c r="J82" s="37"/>
      <c r="K82" s="37"/>
      <c r="L82" s="37"/>
      <c r="M82" s="37"/>
      <c r="N82" s="37"/>
      <c r="O82" s="37">
        <v>71.164354620565732</v>
      </c>
      <c r="P82" s="37"/>
      <c r="Q82" s="37"/>
      <c r="R82" s="37"/>
      <c r="S82" s="37">
        <v>80.615439797717016</v>
      </c>
      <c r="T82" s="37"/>
      <c r="U82" s="37">
        <v>50.457077758868508</v>
      </c>
      <c r="V82" s="37"/>
      <c r="W82" s="37"/>
      <c r="X82" s="37"/>
      <c r="Y82" s="37">
        <v>58.473187996860332</v>
      </c>
      <c r="Z82" s="37"/>
      <c r="AA82" s="37">
        <v>93.583473554675408</v>
      </c>
      <c r="AB82" s="37"/>
      <c r="AC82" s="37"/>
      <c r="AD82" s="37"/>
      <c r="AE82" s="37"/>
      <c r="AF82" s="37"/>
      <c r="AG82" s="37"/>
      <c r="AH82" s="57"/>
    </row>
    <row r="83" spans="1:34" ht="30" hidden="1" outlineLevel="1" x14ac:dyDescent="0.2">
      <c r="A83" s="62" t="str">
        <f>[1]СВОД!A148</f>
        <v>Оздоровительный сеанс лампы Чижевского  (индивидуально )</v>
      </c>
      <c r="B83" s="41" t="str">
        <f>[1]СВОД!B148</f>
        <v>1 услуга</v>
      </c>
      <c r="C83" s="41"/>
      <c r="D83" s="103">
        <f t="shared" si="10"/>
        <v>0</v>
      </c>
      <c r="E83" s="170">
        <f t="shared" si="9"/>
        <v>0</v>
      </c>
      <c r="F83" s="38">
        <v>115.32707615533583</v>
      </c>
      <c r="G83" s="37"/>
      <c r="H83" s="37"/>
      <c r="I83" s="37">
        <v>502.44508986215226</v>
      </c>
      <c r="J83" s="37"/>
      <c r="K83" s="37">
        <v>108.2311747793602</v>
      </c>
      <c r="L83" s="37"/>
      <c r="M83" s="37"/>
      <c r="N83" s="37"/>
      <c r="O83" s="37">
        <v>94.885806160754328</v>
      </c>
      <c r="P83" s="37">
        <v>99.048087734175851</v>
      </c>
      <c r="Q83" s="37"/>
      <c r="R83" s="37"/>
      <c r="S83" s="37">
        <v>107.48725306362272</v>
      </c>
      <c r="T83" s="37"/>
      <c r="U83" s="37">
        <v>67.276103678491353</v>
      </c>
      <c r="V83" s="37"/>
      <c r="W83" s="37"/>
      <c r="X83" s="37"/>
      <c r="Y83" s="37">
        <v>77.964250662480453</v>
      </c>
      <c r="Z83" s="37"/>
      <c r="AA83" s="37">
        <v>124.77796473956722</v>
      </c>
      <c r="AB83" s="37"/>
      <c r="AC83" s="37"/>
      <c r="AD83" s="37"/>
      <c r="AE83" s="37"/>
      <c r="AF83" s="37"/>
      <c r="AG83" s="37"/>
      <c r="AH83" s="57"/>
    </row>
    <row r="84" spans="1:34" ht="30" hidden="1" outlineLevel="1" x14ac:dyDescent="0.2">
      <c r="A84" s="62" t="str">
        <f>[1]СВОД!A149</f>
        <v>Оздоровительный сеанс лампы Чижевского (групповые - 5 чел. )</v>
      </c>
      <c r="B84" s="41" t="str">
        <f>[1]СВОД!B149</f>
        <v>1 услуга</v>
      </c>
      <c r="C84" s="41"/>
      <c r="D84" s="103">
        <f t="shared" si="10"/>
        <v>0</v>
      </c>
      <c r="E84" s="170">
        <f t="shared" si="9"/>
        <v>0</v>
      </c>
      <c r="F84" s="38">
        <v>23.065415231067167</v>
      </c>
      <c r="G84" s="37"/>
      <c r="H84" s="37"/>
      <c r="I84" s="37">
        <v>100.48901797243045</v>
      </c>
      <c r="J84" s="37"/>
      <c r="K84" s="37">
        <v>21.646234955872039</v>
      </c>
      <c r="L84" s="37"/>
      <c r="M84" s="37"/>
      <c r="N84" s="37"/>
      <c r="O84" s="37">
        <v>18.977161232150866</v>
      </c>
      <c r="P84" s="37">
        <v>19.80961754683517</v>
      </c>
      <c r="Q84" s="37"/>
      <c r="R84" s="37"/>
      <c r="S84" s="37">
        <v>21.497450612724542</v>
      </c>
      <c r="T84" s="37"/>
      <c r="U84" s="37">
        <v>13.455220735698271</v>
      </c>
      <c r="V84" s="37"/>
      <c r="W84" s="37"/>
      <c r="X84" s="37"/>
      <c r="Y84" s="37">
        <v>15.592850132496091</v>
      </c>
      <c r="Z84" s="37"/>
      <c r="AA84" s="37">
        <v>24.955592947913445</v>
      </c>
      <c r="AB84" s="37"/>
      <c r="AC84" s="37"/>
      <c r="AD84" s="37"/>
      <c r="AE84" s="37"/>
      <c r="AF84" s="37"/>
      <c r="AG84" s="37"/>
      <c r="AH84" s="57"/>
    </row>
    <row r="85" spans="1:34" ht="60" outlineLevel="1" x14ac:dyDescent="0.2">
      <c r="A85" s="112" t="s">
        <v>426</v>
      </c>
      <c r="B85" s="41" t="str">
        <f>[1]СВОД!B153</f>
        <v>1 услуга</v>
      </c>
      <c r="C85" s="41">
        <v>358.57</v>
      </c>
      <c r="D85" s="103">
        <v>453</v>
      </c>
      <c r="E85" s="170">
        <f t="shared" si="9"/>
        <v>471.12</v>
      </c>
      <c r="F85" s="38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57"/>
    </row>
    <row r="86" spans="1:34" ht="45" outlineLevel="1" x14ac:dyDescent="0.2">
      <c r="A86" s="112" t="s">
        <v>431</v>
      </c>
      <c r="B86" s="41" t="s">
        <v>32</v>
      </c>
      <c r="C86" s="41"/>
      <c r="D86" s="103">
        <v>386</v>
      </c>
      <c r="E86" s="170">
        <f t="shared" si="9"/>
        <v>401.44</v>
      </c>
      <c r="F86" s="38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57"/>
    </row>
    <row r="87" spans="1:34" x14ac:dyDescent="0.2">
      <c r="A87" s="75"/>
      <c r="B87" s="75"/>
      <c r="C87" s="75"/>
      <c r="D87" s="75"/>
      <c r="E87" s="171"/>
      <c r="F87" s="38">
        <v>139.03473417204219</v>
      </c>
      <c r="G87" s="37"/>
      <c r="H87" s="37"/>
      <c r="I87" s="37">
        <v>358.56593284443619</v>
      </c>
      <c r="J87" s="37"/>
      <c r="K87" s="37"/>
      <c r="L87" s="37">
        <v>121.595377717269</v>
      </c>
      <c r="M87" s="37"/>
      <c r="N87" s="37"/>
      <c r="O87" s="37">
        <v>142.32870924113146</v>
      </c>
      <c r="P87" s="37"/>
      <c r="Q87" s="37"/>
      <c r="R87" s="37">
        <v>274.68438214763495</v>
      </c>
      <c r="S87" s="37">
        <v>149.53795678215761</v>
      </c>
      <c r="T87" s="37"/>
      <c r="U87" s="37">
        <v>100.91415551773702</v>
      </c>
      <c r="V87" s="37">
        <v>135.6904765081722</v>
      </c>
      <c r="W87" s="37"/>
      <c r="X87" s="37"/>
      <c r="Y87" s="37">
        <v>116.94637599372066</v>
      </c>
      <c r="Z87" s="37"/>
      <c r="AA87" s="37">
        <v>207.9632745659454</v>
      </c>
      <c r="AB87" s="37"/>
      <c r="AC87" s="37"/>
      <c r="AD87" s="37">
        <v>123.49740410550217</v>
      </c>
      <c r="AE87" s="37"/>
      <c r="AF87" s="37"/>
      <c r="AG87" s="37"/>
      <c r="AH87" s="57"/>
    </row>
    <row r="88" spans="1:34" ht="15.75" x14ac:dyDescent="0.25">
      <c r="A88" s="246" t="str">
        <f>[1]СВОД!A154</f>
        <v>Социально-психологические услуги</v>
      </c>
      <c r="B88" s="247"/>
      <c r="C88" s="247"/>
      <c r="D88" s="247"/>
      <c r="E88" s="248"/>
      <c r="F88" s="38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57"/>
    </row>
    <row r="89" spans="1:34" ht="30" x14ac:dyDescent="0.2">
      <c r="A89" s="112" t="s">
        <v>427</v>
      </c>
      <c r="B89" s="41" t="str">
        <f>[1]СВОД!B155</f>
        <v>1 услуга</v>
      </c>
      <c r="C89" s="41">
        <v>346.75</v>
      </c>
      <c r="D89" s="103">
        <v>438</v>
      </c>
      <c r="E89" s="170">
        <f>D89*1.04</f>
        <v>455.52000000000004</v>
      </c>
      <c r="F89" s="38">
        <v>360.96795864513535</v>
      </c>
      <c r="G89" s="37"/>
      <c r="H89" s="37"/>
      <c r="I89" s="37">
        <v>717.13186568887272</v>
      </c>
      <c r="J89" s="37">
        <v>265.36350940953622</v>
      </c>
      <c r="K89" s="37">
        <v>367.19512839299199</v>
      </c>
      <c r="L89" s="37">
        <v>243.20983071537839</v>
      </c>
      <c r="M89" s="37">
        <v>234.53164393057477</v>
      </c>
      <c r="N89" s="37">
        <v>262.79584612130697</v>
      </c>
      <c r="O89" s="37">
        <v>291.72286370239368</v>
      </c>
      <c r="P89" s="37">
        <v>283.9206326370691</v>
      </c>
      <c r="Q89" s="37">
        <v>249.70594145513434</v>
      </c>
      <c r="R89" s="37">
        <v>345.18535606061647</v>
      </c>
      <c r="S89" s="37">
        <v>332.68457985512634</v>
      </c>
      <c r="T89" s="37">
        <v>277.12557252477154</v>
      </c>
      <c r="U89" s="37">
        <v>226.73638777721186</v>
      </c>
      <c r="V89" s="37">
        <v>361.03017721824324</v>
      </c>
      <c r="W89" s="37">
        <v>311.47930435117763</v>
      </c>
      <c r="X89" s="37">
        <v>297.3626604525312</v>
      </c>
      <c r="Y89" s="37">
        <v>233.9187942156816</v>
      </c>
      <c r="Z89" s="37">
        <v>260.42104665599567</v>
      </c>
      <c r="AA89" s="37">
        <v>415.92654913189079</v>
      </c>
      <c r="AB89" s="37">
        <v>306.26957089781973</v>
      </c>
      <c r="AC89" s="37">
        <v>294.90856314751977</v>
      </c>
      <c r="AD89" s="37">
        <v>342.73382336079135</v>
      </c>
      <c r="AE89" s="37">
        <v>259.74285478271923</v>
      </c>
      <c r="AF89" s="37">
        <v>377.26119632753785</v>
      </c>
      <c r="AG89" s="37">
        <v>240.59557626809249</v>
      </c>
      <c r="AH89" s="57"/>
    </row>
    <row r="90" spans="1:34" ht="30" x14ac:dyDescent="0.2">
      <c r="A90" s="112" t="s">
        <v>411</v>
      </c>
      <c r="B90" s="41" t="str">
        <f>[1]СВОД!B156</f>
        <v>1 услуга</v>
      </c>
      <c r="C90" s="41">
        <v>346.75</v>
      </c>
      <c r="D90" s="103">
        <v>438</v>
      </c>
      <c r="E90" s="170">
        <f t="shared" ref="E90:E101" si="11">D90*1.04</f>
        <v>455.52000000000004</v>
      </c>
      <c r="F90" s="38">
        <v>360.96795864513535</v>
      </c>
      <c r="G90" s="37"/>
      <c r="H90" s="37"/>
      <c r="I90" s="37">
        <v>717.13186568887272</v>
      </c>
      <c r="J90" s="37">
        <v>265.36350940953622</v>
      </c>
      <c r="K90" s="37">
        <v>367.19512839299199</v>
      </c>
      <c r="L90" s="37">
        <v>243.20983071537839</v>
      </c>
      <c r="M90" s="37">
        <v>234.53164393057477</v>
      </c>
      <c r="N90" s="37">
        <v>262.79584612130697</v>
      </c>
      <c r="O90" s="37">
        <v>291.72286370239368</v>
      </c>
      <c r="P90" s="37">
        <v>283.9206326370691</v>
      </c>
      <c r="Q90" s="37">
        <v>249.70594145513434</v>
      </c>
      <c r="R90" s="37">
        <v>345.18535606061647</v>
      </c>
      <c r="S90" s="37">
        <v>332.68457985512634</v>
      </c>
      <c r="T90" s="37">
        <v>277.12557252477154</v>
      </c>
      <c r="U90" s="37">
        <v>226.73638777721186</v>
      </c>
      <c r="V90" s="37">
        <v>361.03017721824324</v>
      </c>
      <c r="W90" s="37">
        <v>311.47930435117763</v>
      </c>
      <c r="X90" s="37">
        <v>297.3626604525312</v>
      </c>
      <c r="Y90" s="37">
        <v>233.9187942156816</v>
      </c>
      <c r="Z90" s="37">
        <v>260.42104665599567</v>
      </c>
      <c r="AA90" s="37">
        <v>415.92654913189079</v>
      </c>
      <c r="AB90" s="37">
        <v>306.26957089781973</v>
      </c>
      <c r="AC90" s="37">
        <v>294.90856314751977</v>
      </c>
      <c r="AD90" s="37">
        <v>342.73382336079135</v>
      </c>
      <c r="AE90" s="37">
        <v>259.74285478271923</v>
      </c>
      <c r="AF90" s="37">
        <v>377.26119632753785</v>
      </c>
      <c r="AG90" s="37">
        <v>240.59557626809249</v>
      </c>
      <c r="AH90" s="57"/>
    </row>
    <row r="91" spans="1:34" ht="45" x14ac:dyDescent="0.2">
      <c r="A91" s="112" t="s">
        <v>428</v>
      </c>
      <c r="B91" s="41" t="s">
        <v>32</v>
      </c>
      <c r="C91" s="41">
        <v>346.75</v>
      </c>
      <c r="D91" s="103">
        <v>438</v>
      </c>
      <c r="E91" s="170">
        <f t="shared" si="11"/>
        <v>455.52000000000004</v>
      </c>
      <c r="F91" s="38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57"/>
    </row>
    <row r="92" spans="1:34" hidden="1" outlineLevel="1" x14ac:dyDescent="0.2">
      <c r="A92" s="65" t="str">
        <f>[1]СВОД!A159</f>
        <v xml:space="preserve"> - тренировка памяти, внимания, мышления </v>
      </c>
      <c r="B92" s="41" t="str">
        <f>[1]СВОД!B159</f>
        <v>1 услуга</v>
      </c>
      <c r="C92" s="41"/>
      <c r="D92" s="103">
        <f t="shared" ref="D92:D99" si="12">ROUND(C92*1.1,0)</f>
        <v>0</v>
      </c>
      <c r="E92" s="170">
        <f t="shared" si="11"/>
        <v>0</v>
      </c>
      <c r="F92" s="38">
        <v>240.64530576342364</v>
      </c>
      <c r="G92" s="37"/>
      <c r="H92" s="37"/>
      <c r="I92" s="37">
        <v>478.08791045924835</v>
      </c>
      <c r="J92" s="37">
        <v>176.90900627302412</v>
      </c>
      <c r="K92" s="37">
        <v>244.7967522619947</v>
      </c>
      <c r="L92" s="37">
        <v>162.13988714358561</v>
      </c>
      <c r="M92" s="37">
        <v>156.35442928704987</v>
      </c>
      <c r="N92" s="37">
        <v>175.19723074753799</v>
      </c>
      <c r="O92" s="37">
        <v>194.48190913492911</v>
      </c>
      <c r="P92" s="37">
        <v>189.28042175804606</v>
      </c>
      <c r="Q92" s="37">
        <v>166.47062763675621</v>
      </c>
      <c r="R92" s="37">
        <v>230.12357070707765</v>
      </c>
      <c r="S92" s="37">
        <v>221.78971990341753</v>
      </c>
      <c r="T92" s="37">
        <v>184.75038168318105</v>
      </c>
      <c r="U92" s="37">
        <v>151.15759185147459</v>
      </c>
      <c r="V92" s="37">
        <v>240.68678481216213</v>
      </c>
      <c r="W92" s="37">
        <v>207.65286956745175</v>
      </c>
      <c r="X92" s="37">
        <v>198.24177363502082</v>
      </c>
      <c r="Y92" s="37">
        <v>155.9458628104544</v>
      </c>
      <c r="Z92" s="37">
        <v>173.61403110399709</v>
      </c>
      <c r="AA92" s="37">
        <v>277.2843660879272</v>
      </c>
      <c r="AB92" s="37">
        <v>204.17971393187983</v>
      </c>
      <c r="AC92" s="37">
        <v>196.60570876501316</v>
      </c>
      <c r="AD92" s="37">
        <v>228.48921557386092</v>
      </c>
      <c r="AE92" s="37">
        <v>173.16190318847947</v>
      </c>
      <c r="AF92" s="37">
        <v>251.50746421835856</v>
      </c>
      <c r="AG92" s="37">
        <v>160.39705084539497</v>
      </c>
      <c r="AH92" s="57"/>
    </row>
    <row r="93" spans="1:34" ht="45" hidden="1" outlineLevel="1" x14ac:dyDescent="0.2">
      <c r="A93" s="65" t="str">
        <f>[1]СВОД!A160</f>
        <v xml:space="preserve"> - психологическая релаксация в сенсорной комнате  - групповое    (от 3 человек и больше)</v>
      </c>
      <c r="B93" s="41" t="str">
        <f>[1]СВОД!B160</f>
        <v>1 услуга</v>
      </c>
      <c r="C93" s="41"/>
      <c r="D93" s="103">
        <f t="shared" si="12"/>
        <v>0</v>
      </c>
      <c r="E93" s="170">
        <f t="shared" si="11"/>
        <v>0</v>
      </c>
      <c r="F93" s="38">
        <v>90.241989661283853</v>
      </c>
      <c r="G93" s="37"/>
      <c r="H93" s="37"/>
      <c r="I93" s="37">
        <v>179.28296642221812</v>
      </c>
      <c r="J93" s="37">
        <v>66.340877352384055</v>
      </c>
      <c r="K93" s="37"/>
      <c r="L93" s="37">
        <v>60.802457678844583</v>
      </c>
      <c r="M93" s="37">
        <v>58.632910982643693</v>
      </c>
      <c r="N93" s="37">
        <v>65.698961530326741</v>
      </c>
      <c r="O93" s="37">
        <v>72.93071592559842</v>
      </c>
      <c r="P93" s="37">
        <v>70.980158159267262</v>
      </c>
      <c r="Q93" s="37">
        <v>62.426485363783577</v>
      </c>
      <c r="R93" s="37">
        <v>86.296339015154118</v>
      </c>
      <c r="S93" s="37">
        <v>83.171144963781586</v>
      </c>
      <c r="T93" s="37">
        <v>69.281393131192885</v>
      </c>
      <c r="U93" s="37">
        <v>56.684096944302958</v>
      </c>
      <c r="V93" s="37">
        <f>270.772632913682/3</f>
        <v>90.257544304560668</v>
      </c>
      <c r="W93" s="37">
        <f>233.609478263383/3</f>
        <v>77.869826087794337</v>
      </c>
      <c r="X93" s="37">
        <v>74.3406651131328</v>
      </c>
      <c r="Y93" s="37">
        <v>58.4796985539204</v>
      </c>
      <c r="Z93" s="37">
        <f>195.315784991997/3</f>
        <v>65.105261663999002</v>
      </c>
      <c r="AA93" s="37">
        <f>103.981637282973/3</f>
        <v>34.660545760990999</v>
      </c>
      <c r="AB93" s="37">
        <v>76.567392724454933</v>
      </c>
      <c r="AC93" s="37">
        <v>73.727140786879957</v>
      </c>
      <c r="AD93" s="37">
        <v>85.683455840197837</v>
      </c>
      <c r="AE93" s="37">
        <f>194.807141087039/3</f>
        <v>64.935713695679667</v>
      </c>
      <c r="AF93" s="37"/>
      <c r="AG93" s="37">
        <v>60.148894067023114</v>
      </c>
      <c r="AH93" s="57"/>
    </row>
    <row r="94" spans="1:34" ht="30" hidden="1" outlineLevel="1" x14ac:dyDescent="0.2">
      <c r="A94" s="65" t="str">
        <f>[1]СВОД!A161</f>
        <v xml:space="preserve"> - психологическая релаксация в сенсорной комнате  -  индивидуально</v>
      </c>
      <c r="B94" s="41" t="str">
        <f>[1]СВОД!B161</f>
        <v>1 услуга</v>
      </c>
      <c r="C94" s="41"/>
      <c r="D94" s="103">
        <f t="shared" si="12"/>
        <v>0</v>
      </c>
      <c r="E94" s="170">
        <f t="shared" si="11"/>
        <v>0</v>
      </c>
      <c r="F94" s="38">
        <v>150.40331610213974</v>
      </c>
      <c r="G94" s="37"/>
      <c r="H94" s="37"/>
      <c r="I94" s="37">
        <v>298.80494403703028</v>
      </c>
      <c r="J94" s="37">
        <v>110.56812892064009</v>
      </c>
      <c r="K94" s="37"/>
      <c r="L94" s="37">
        <v>101.33742946474099</v>
      </c>
      <c r="M94" s="37">
        <v>97.721518304406175</v>
      </c>
      <c r="N94" s="37">
        <v>109.49826921721125</v>
      </c>
      <c r="O94" s="37">
        <v>121.55119320933068</v>
      </c>
      <c r="P94" s="37">
        <v>118.3002635987788</v>
      </c>
      <c r="Q94" s="37">
        <v>104.04414227297264</v>
      </c>
      <c r="R94" s="37">
        <v>143.82723169192354</v>
      </c>
      <c r="S94" s="37">
        <v>138.61857493963598</v>
      </c>
      <c r="T94" s="37">
        <v>115.46898855198813</v>
      </c>
      <c r="U94" s="37">
        <v>94.473494907171599</v>
      </c>
      <c r="V94" s="37">
        <v>150.42924050760132</v>
      </c>
      <c r="W94" s="37">
        <v>129.78304347965735</v>
      </c>
      <c r="X94" s="37">
        <v>123.90110852188801</v>
      </c>
      <c r="Y94" s="37">
        <v>97.466164256534</v>
      </c>
      <c r="Z94" s="37">
        <v>108.50876943999819</v>
      </c>
      <c r="AA94" s="37">
        <v>173.30272880495448</v>
      </c>
      <c r="AB94" s="37">
        <v>127.6123212074249</v>
      </c>
      <c r="AC94" s="37">
        <v>122.87856797813326</v>
      </c>
      <c r="AD94" s="37">
        <v>142.80575973366308</v>
      </c>
      <c r="AE94" s="37">
        <v>108.22618949279968</v>
      </c>
      <c r="AF94" s="37"/>
      <c r="AG94" s="37">
        <v>100.24815677837185</v>
      </c>
      <c r="AH94" s="57"/>
    </row>
    <row r="95" spans="1:34" ht="45" hidden="1" outlineLevel="1" x14ac:dyDescent="0.2">
      <c r="A95" s="65" t="str">
        <f>[1]СВОД!A162</f>
        <v xml:space="preserve"> - психологическая помощь при затруднениях в детско-родительских отношениях - индивидуально</v>
      </c>
      <c r="B95" s="41" t="str">
        <f>[1]СВОД!B162</f>
        <v>1 услуга</v>
      </c>
      <c r="C95" s="41"/>
      <c r="D95" s="103">
        <f t="shared" si="12"/>
        <v>0</v>
      </c>
      <c r="E95" s="170">
        <f t="shared" si="11"/>
        <v>0</v>
      </c>
      <c r="F95" s="38">
        <v>360.96795864513535</v>
      </c>
      <c r="G95" s="37"/>
      <c r="H95" s="37"/>
      <c r="I95" s="37">
        <v>717.13186568887272</v>
      </c>
      <c r="J95" s="37">
        <v>265.36350940953622</v>
      </c>
      <c r="K95" s="37">
        <v>367.19512839299199</v>
      </c>
      <c r="L95" s="37">
        <v>243.20983071537839</v>
      </c>
      <c r="M95" s="37">
        <v>234.53164393057477</v>
      </c>
      <c r="N95" s="37">
        <v>262.79584612130697</v>
      </c>
      <c r="O95" s="37">
        <v>291.72286370239368</v>
      </c>
      <c r="P95" s="37">
        <v>283.9206326370691</v>
      </c>
      <c r="Q95" s="37">
        <v>249.70594145513434</v>
      </c>
      <c r="R95" s="37"/>
      <c r="S95" s="37">
        <v>332.68457985512634</v>
      </c>
      <c r="T95" s="37">
        <v>277.12557252477154</v>
      </c>
      <c r="U95" s="37">
        <v>226.73638777721186</v>
      </c>
      <c r="V95" s="37">
        <v>361.03017721824324</v>
      </c>
      <c r="W95" s="37">
        <v>311.47930435117763</v>
      </c>
      <c r="X95" s="37">
        <v>297.3626604525312</v>
      </c>
      <c r="Y95" s="37">
        <v>233.9187942156816</v>
      </c>
      <c r="Z95" s="37">
        <v>260.42104665599567</v>
      </c>
      <c r="AA95" s="37">
        <v>415.92654913189079</v>
      </c>
      <c r="AB95" s="37">
        <v>306.26957089781973</v>
      </c>
      <c r="AC95" s="37">
        <v>294.90856314751977</v>
      </c>
      <c r="AD95" s="37">
        <v>342.73382336079135</v>
      </c>
      <c r="AE95" s="37">
        <v>259.74285478271923</v>
      </c>
      <c r="AF95" s="37">
        <v>377.26119632753785</v>
      </c>
      <c r="AG95" s="37">
        <v>240.59557626809249</v>
      </c>
      <c r="AH95" s="57"/>
    </row>
    <row r="96" spans="1:34" ht="45" hidden="1" outlineLevel="1" x14ac:dyDescent="0.2">
      <c r="A96" s="65" t="str">
        <f>[1]СВОД!A163</f>
        <v xml:space="preserve"> - психологическая помощь при затруднениях в детско-родительских отношениях - групповое -2 чел.</v>
      </c>
      <c r="B96" s="41" t="str">
        <f>[1]СВОД!B163</f>
        <v>1 услуга</v>
      </c>
      <c r="C96" s="41"/>
      <c r="D96" s="103">
        <f t="shared" si="12"/>
        <v>0</v>
      </c>
      <c r="E96" s="170">
        <f t="shared" si="11"/>
        <v>0</v>
      </c>
      <c r="F96" s="38">
        <v>180.48397932256768</v>
      </c>
      <c r="G96" s="37"/>
      <c r="H96" s="37"/>
      <c r="I96" s="37">
        <v>358.56593284443636</v>
      </c>
      <c r="J96" s="37">
        <v>132.68175470476811</v>
      </c>
      <c r="K96" s="37">
        <v>183.59756419649599</v>
      </c>
      <c r="L96" s="37">
        <v>121.60491535768919</v>
      </c>
      <c r="M96" s="37">
        <v>117.26582196528739</v>
      </c>
      <c r="N96" s="37">
        <v>131.39792306065348</v>
      </c>
      <c r="O96" s="37">
        <v>145.86143185119684</v>
      </c>
      <c r="P96" s="37">
        <v>141.96031631853455</v>
      </c>
      <c r="Q96" s="37">
        <v>124.85297072756717</v>
      </c>
      <c r="R96" s="37"/>
      <c r="S96" s="37">
        <v>166.34228992756317</v>
      </c>
      <c r="T96" s="37">
        <v>138.56278626238577</v>
      </c>
      <c r="U96" s="37">
        <v>113.36819388860593</v>
      </c>
      <c r="V96" s="37">
        <f>361.030177218243/2</f>
        <v>180.51508860912151</v>
      </c>
      <c r="W96" s="37">
        <f>311.479304351178/2</f>
        <v>155.73965217558899</v>
      </c>
      <c r="X96" s="37">
        <v>148.6813302262656</v>
      </c>
      <c r="Y96" s="37">
        <v>116.9593971078408</v>
      </c>
      <c r="Z96" s="37">
        <f>260.421046655996/2</f>
        <v>130.210523327998</v>
      </c>
      <c r="AA96" s="37">
        <v>207.9632745659454</v>
      </c>
      <c r="AB96" s="37">
        <v>153.13478544890987</v>
      </c>
      <c r="AC96" s="37">
        <v>147.45428157375989</v>
      </c>
      <c r="AD96" s="37">
        <v>171.36691168039567</v>
      </c>
      <c r="AE96" s="37">
        <f>259.742854782719/2</f>
        <v>129.8714273913595</v>
      </c>
      <c r="AF96" s="37">
        <v>188.63059816376892</v>
      </c>
      <c r="AG96" s="37">
        <v>120.29778813404624</v>
      </c>
      <c r="AH96" s="57"/>
    </row>
    <row r="97" spans="1:35" ht="30" hidden="1" outlineLevel="1" x14ac:dyDescent="0.2">
      <c r="A97" s="65" t="str">
        <f>[1]СВОД!A164</f>
        <v xml:space="preserve"> - коррекция эмоциональной сферы, навыков общения </v>
      </c>
      <c r="B97" s="41" t="str">
        <f>[1]СВОД!B164</f>
        <v>1 услуга</v>
      </c>
      <c r="C97" s="41"/>
      <c r="D97" s="103">
        <f t="shared" si="12"/>
        <v>0</v>
      </c>
      <c r="E97" s="170">
        <f t="shared" si="11"/>
        <v>0</v>
      </c>
      <c r="F97" s="38">
        <v>240.64530576342364</v>
      </c>
      <c r="G97" s="37"/>
      <c r="H97" s="37"/>
      <c r="I97" s="37">
        <v>478.08791045924835</v>
      </c>
      <c r="J97" s="37">
        <v>176.90900627302412</v>
      </c>
      <c r="K97" s="37">
        <v>244.7967522619947</v>
      </c>
      <c r="L97" s="37">
        <v>162.13988714358561</v>
      </c>
      <c r="M97" s="37">
        <v>156.35442928704987</v>
      </c>
      <c r="N97" s="37">
        <v>175.19723074753799</v>
      </c>
      <c r="O97" s="37">
        <v>194.48190913492911</v>
      </c>
      <c r="P97" s="37">
        <v>189.28042175804606</v>
      </c>
      <c r="Q97" s="37">
        <v>166.47062763675621</v>
      </c>
      <c r="R97" s="37">
        <v>230.12357070707765</v>
      </c>
      <c r="S97" s="37">
        <v>221.78971990341753</v>
      </c>
      <c r="T97" s="37">
        <v>184.75038168318105</v>
      </c>
      <c r="U97" s="37">
        <v>151.15759185147459</v>
      </c>
      <c r="V97" s="37">
        <v>240.68678481216213</v>
      </c>
      <c r="W97" s="37">
        <v>207.65286956745175</v>
      </c>
      <c r="X97" s="37">
        <v>198.24177363502082</v>
      </c>
      <c r="Y97" s="37">
        <v>155.9458628104544</v>
      </c>
      <c r="Z97" s="37">
        <v>173.61403110399709</v>
      </c>
      <c r="AA97" s="37">
        <v>277.2843660879272</v>
      </c>
      <c r="AB97" s="37">
        <v>204.17971393187983</v>
      </c>
      <c r="AC97" s="37">
        <v>196.60570876501316</v>
      </c>
      <c r="AD97" s="37">
        <v>228.48921557386092</v>
      </c>
      <c r="AE97" s="37">
        <v>173.16190318847947</v>
      </c>
      <c r="AF97" s="37">
        <v>251.50746421835856</v>
      </c>
      <c r="AG97" s="37">
        <v>160.39705084539497</v>
      </c>
      <c r="AH97" s="57"/>
    </row>
    <row r="98" spans="1:35" ht="30" hidden="1" outlineLevel="1" x14ac:dyDescent="0.2">
      <c r="A98" s="65" t="str">
        <f>[1]СВОД!A165</f>
        <v xml:space="preserve"> - тренинг общения, уверенности в себе - групповое -  2 чел.</v>
      </c>
      <c r="B98" s="41" t="str">
        <f>[1]СВОД!B165</f>
        <v>1 услуга</v>
      </c>
      <c r="C98" s="41"/>
      <c r="D98" s="103">
        <f t="shared" si="12"/>
        <v>0</v>
      </c>
      <c r="E98" s="170">
        <f t="shared" si="11"/>
        <v>0</v>
      </c>
      <c r="F98" s="38">
        <v>180.48397932256768</v>
      </c>
      <c r="G98" s="37"/>
      <c r="H98" s="37"/>
      <c r="I98" s="37">
        <v>358.56593284443636</v>
      </c>
      <c r="J98" s="37">
        <v>132.68175470476811</v>
      </c>
      <c r="K98" s="37">
        <v>183.59756419649599</v>
      </c>
      <c r="L98" s="37">
        <v>121.60491535768919</v>
      </c>
      <c r="M98" s="37">
        <v>117.26582196528739</v>
      </c>
      <c r="N98" s="37">
        <v>131.39792306065348</v>
      </c>
      <c r="O98" s="37">
        <v>145.86143185119684</v>
      </c>
      <c r="P98" s="37">
        <v>141.96031631853455</v>
      </c>
      <c r="Q98" s="37">
        <v>124.85297072756717</v>
      </c>
      <c r="R98" s="37">
        <v>172.59267803030824</v>
      </c>
      <c r="S98" s="37">
        <v>166.34228992756317</v>
      </c>
      <c r="T98" s="37">
        <v>138.56278626238577</v>
      </c>
      <c r="U98" s="37">
        <v>113.36819388860593</v>
      </c>
      <c r="V98" s="37">
        <f>361.030177218243/2</f>
        <v>180.51508860912151</v>
      </c>
      <c r="W98" s="37">
        <f>311.479304351178/2</f>
        <v>155.73965217558899</v>
      </c>
      <c r="X98" s="37">
        <v>148.6813302262656</v>
      </c>
      <c r="Y98" s="37">
        <v>116.9593971078408</v>
      </c>
      <c r="Z98" s="37">
        <f>260.421046655996/2</f>
        <v>130.210523327998</v>
      </c>
      <c r="AA98" s="37">
        <v>207.9632745659454</v>
      </c>
      <c r="AB98" s="37">
        <v>153.13478544890987</v>
      </c>
      <c r="AC98" s="37">
        <v>147.45428157375989</v>
      </c>
      <c r="AD98" s="37">
        <v>171.36691168039567</v>
      </c>
      <c r="AE98" s="37">
        <f>259.742854782719/2</f>
        <v>129.8714273913595</v>
      </c>
      <c r="AF98" s="37">
        <v>188.63059816376892</v>
      </c>
      <c r="AG98" s="37">
        <v>120.29778813404624</v>
      </c>
      <c r="AH98" s="57"/>
    </row>
    <row r="99" spans="1:35" hidden="1" outlineLevel="1" x14ac:dyDescent="0.2">
      <c r="A99" s="65" t="str">
        <f>[1]СВОД!A166</f>
        <v xml:space="preserve"> - индивидуальное консультирование</v>
      </c>
      <c r="B99" s="41" t="str">
        <f>[1]СВОД!B166</f>
        <v>1 услуга</v>
      </c>
      <c r="C99" s="41"/>
      <c r="D99" s="103">
        <f t="shared" si="12"/>
        <v>0</v>
      </c>
      <c r="E99" s="170">
        <f t="shared" si="11"/>
        <v>0</v>
      </c>
      <c r="F99" s="38">
        <v>360.96795864513535</v>
      </c>
      <c r="G99" s="37"/>
      <c r="H99" s="37"/>
      <c r="I99" s="37">
        <v>717.13186568887272</v>
      </c>
      <c r="J99" s="37">
        <v>265.36350940953622</v>
      </c>
      <c r="K99" s="37">
        <v>367.19512839299199</v>
      </c>
      <c r="L99" s="37">
        <v>243.20983071537839</v>
      </c>
      <c r="M99" s="37">
        <v>234.53164393057477</v>
      </c>
      <c r="N99" s="37">
        <v>262.79584612130697</v>
      </c>
      <c r="O99" s="37">
        <v>291.72286370239368</v>
      </c>
      <c r="P99" s="37">
        <v>283.9206326370691</v>
      </c>
      <c r="Q99" s="37">
        <v>249.70594145513434</v>
      </c>
      <c r="R99" s="37">
        <v>345.18535606061647</v>
      </c>
      <c r="S99" s="37">
        <v>332.68457985512634</v>
      </c>
      <c r="T99" s="37">
        <v>277.12557252477154</v>
      </c>
      <c r="U99" s="37">
        <v>226.73638777721186</v>
      </c>
      <c r="V99" s="37">
        <v>361.03017721824324</v>
      </c>
      <c r="W99" s="37">
        <v>311.47930435117763</v>
      </c>
      <c r="X99" s="37">
        <v>297.3626604525312</v>
      </c>
      <c r="Y99" s="37">
        <v>233.9187942156816</v>
      </c>
      <c r="Z99" s="37">
        <v>260.42104665599567</v>
      </c>
      <c r="AA99" s="37">
        <v>415.92654913189079</v>
      </c>
      <c r="AB99" s="37">
        <v>306.26957089781973</v>
      </c>
      <c r="AC99" s="37">
        <v>294.90856314751977</v>
      </c>
      <c r="AD99" s="37">
        <v>342.73382336079135</v>
      </c>
      <c r="AE99" s="37">
        <v>259.74285478271923</v>
      </c>
      <c r="AF99" s="37">
        <v>377.26119632753785</v>
      </c>
      <c r="AG99" s="37">
        <v>240.59557626809249</v>
      </c>
      <c r="AH99" s="57"/>
    </row>
    <row r="100" spans="1:35" ht="81" customHeight="1" outlineLevel="1" x14ac:dyDescent="0.2">
      <c r="A100" s="112" t="s">
        <v>432</v>
      </c>
      <c r="B100" s="41" t="s">
        <v>32</v>
      </c>
      <c r="C100" s="41"/>
      <c r="D100" s="103">
        <v>373</v>
      </c>
      <c r="E100" s="170">
        <f t="shared" si="11"/>
        <v>387.92</v>
      </c>
      <c r="F100" s="38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57"/>
    </row>
    <row r="101" spans="1:35" x14ac:dyDescent="0.2">
      <c r="A101" s="112" t="s">
        <v>433</v>
      </c>
      <c r="B101" s="41" t="str">
        <f>[1]СВОД!B167</f>
        <v>1 услуга</v>
      </c>
      <c r="C101" s="41">
        <v>346.75</v>
      </c>
      <c r="D101" s="103">
        <v>438</v>
      </c>
      <c r="E101" s="170">
        <f t="shared" si="11"/>
        <v>455.52000000000004</v>
      </c>
      <c r="F101" s="38">
        <v>360.96795864513535</v>
      </c>
      <c r="G101" s="37"/>
      <c r="H101" s="37"/>
      <c r="I101" s="37">
        <v>717.13186568887272</v>
      </c>
      <c r="J101" s="37">
        <v>265.36350940953622</v>
      </c>
      <c r="K101" s="37">
        <v>367.19512839299199</v>
      </c>
      <c r="L101" s="37">
        <v>243.20983071537839</v>
      </c>
      <c r="M101" s="37">
        <v>234.53164393057477</v>
      </c>
      <c r="N101" s="37">
        <v>262.79584612130697</v>
      </c>
      <c r="O101" s="37">
        <v>291.72286370239368</v>
      </c>
      <c r="P101" s="37">
        <v>283.9206326370691</v>
      </c>
      <c r="Q101" s="37">
        <v>249.70594145513434</v>
      </c>
      <c r="R101" s="37">
        <v>345.18535606061647</v>
      </c>
      <c r="S101" s="37">
        <v>332.68457985512634</v>
      </c>
      <c r="T101" s="37">
        <v>277.12557252477154</v>
      </c>
      <c r="U101" s="37">
        <v>226.73638777721186</v>
      </c>
      <c r="V101" s="37">
        <v>361.03017721824324</v>
      </c>
      <c r="W101" s="37">
        <v>311.47930435117763</v>
      </c>
      <c r="X101" s="37">
        <v>297.3626604525312</v>
      </c>
      <c r="Y101" s="37">
        <v>233.9187942156816</v>
      </c>
      <c r="Z101" s="37">
        <v>260.42104665599567</v>
      </c>
      <c r="AA101" s="37">
        <v>415.92654913189079</v>
      </c>
      <c r="AB101" s="37">
        <v>306.26957089781973</v>
      </c>
      <c r="AC101" s="37">
        <v>294.90856314751977</v>
      </c>
      <c r="AD101" s="37">
        <v>342.73382336079135</v>
      </c>
      <c r="AE101" s="37">
        <v>259.74285478271923</v>
      </c>
      <c r="AF101" s="37">
        <v>270.1805479288837</v>
      </c>
      <c r="AG101" s="37">
        <v>240.59557626809249</v>
      </c>
      <c r="AH101" s="57"/>
    </row>
    <row r="102" spans="1:35" ht="15.75" x14ac:dyDescent="0.25">
      <c r="A102" s="246" t="str">
        <f>[1]СВОД!A168</f>
        <v>Социально-педагогические услуги</v>
      </c>
      <c r="B102" s="247"/>
      <c r="C102" s="247"/>
      <c r="D102" s="247"/>
      <c r="E102" s="248"/>
      <c r="F102" s="38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57"/>
    </row>
    <row r="103" spans="1:35" ht="33" customHeight="1" x14ac:dyDescent="0.2">
      <c r="A103" s="264" t="s">
        <v>434</v>
      </c>
      <c r="B103" s="41" t="str">
        <f>[1]СВОД!B169</f>
        <v>1 услуга</v>
      </c>
      <c r="C103" s="41">
        <v>213.16</v>
      </c>
      <c r="D103" s="103">
        <v>569</v>
      </c>
      <c r="E103" s="170">
        <f>D103*1.04</f>
        <v>591.76</v>
      </c>
      <c r="F103" s="38">
        <v>139.03473417204219</v>
      </c>
      <c r="G103" s="37"/>
      <c r="H103" s="37"/>
      <c r="I103" s="37">
        <v>358.56584307849829</v>
      </c>
      <c r="J103" s="37">
        <v>132.68161340003326</v>
      </c>
      <c r="K103" s="37">
        <v>176.7237538582761</v>
      </c>
      <c r="L103" s="37">
        <v>121.595377717269</v>
      </c>
      <c r="M103" s="37">
        <v>116.300566483732</v>
      </c>
      <c r="N103" s="37">
        <v>131.39792306065345</v>
      </c>
      <c r="O103" s="37">
        <v>145.86143185119684</v>
      </c>
      <c r="P103" s="37">
        <v>138.72133030749478</v>
      </c>
      <c r="Q103" s="37">
        <v>124.85297072756717</v>
      </c>
      <c r="R103" s="37">
        <v>164.76743387414373</v>
      </c>
      <c r="S103" s="37">
        <v>180.04014350743685</v>
      </c>
      <c r="T103" s="37">
        <v>147.62596554177506</v>
      </c>
      <c r="U103" s="37">
        <v>100.90932200133133</v>
      </c>
      <c r="V103" s="37">
        <v>135.6904765081722</v>
      </c>
      <c r="W103" s="37">
        <v>155.47153084868827</v>
      </c>
      <c r="X103" s="37">
        <v>148.6813302262656</v>
      </c>
      <c r="Y103" s="37">
        <v>116.97241822196091</v>
      </c>
      <c r="Z103" s="37">
        <v>130.21052332799783</v>
      </c>
      <c r="AA103" s="37">
        <v>207.9632745659454</v>
      </c>
      <c r="AB103" s="37">
        <v>153.13478544890987</v>
      </c>
      <c r="AC103" s="37">
        <v>147.45428157375989</v>
      </c>
      <c r="AD103" s="37">
        <v>142.93586733587574</v>
      </c>
      <c r="AE103" s="37">
        <v>129.87136925649489</v>
      </c>
      <c r="AF103" s="37">
        <v>135.09027396444185</v>
      </c>
      <c r="AG103" s="37">
        <v>102.70036037832547</v>
      </c>
      <c r="AH103" s="57"/>
    </row>
    <row r="104" spans="1:35" hidden="1" x14ac:dyDescent="0.2">
      <c r="A104" s="264"/>
      <c r="B104" s="41" t="str">
        <f>[1]СВОД!B170</f>
        <v>1 услуга</v>
      </c>
      <c r="C104" s="41">
        <v>237.03</v>
      </c>
      <c r="D104" s="103">
        <f t="shared" ref="D104" si="13">ROUND(C104*1.1,0)</f>
        <v>261</v>
      </c>
      <c r="E104" s="170">
        <f t="shared" ref="E104:E109" si="14">D104*1.04</f>
        <v>271.44</v>
      </c>
      <c r="F104" s="38">
        <v>185.37964556272294</v>
      </c>
      <c r="G104" s="37"/>
      <c r="H104" s="37"/>
      <c r="I104" s="37">
        <v>478.08779077133096</v>
      </c>
      <c r="J104" s="37">
        <v>176.90881786671099</v>
      </c>
      <c r="K104" s="37">
        <v>235.63167181103481</v>
      </c>
      <c r="L104" s="37">
        <v>162.127170289692</v>
      </c>
      <c r="M104" s="37">
        <v>155.06742197830934</v>
      </c>
      <c r="N104" s="37"/>
      <c r="O104" s="37">
        <v>194.48190913492911</v>
      </c>
      <c r="P104" s="37">
        <v>184.96177374332638</v>
      </c>
      <c r="Q104" s="37">
        <v>166.47062763675621</v>
      </c>
      <c r="R104" s="37">
        <v>219.68991183219163</v>
      </c>
      <c r="S104" s="37">
        <v>240.05352467658244</v>
      </c>
      <c r="T104" s="37">
        <v>196.83462072236676</v>
      </c>
      <c r="U104" s="37">
        <v>134.5457626684418</v>
      </c>
      <c r="V104" s="37">
        <v>180.92063534422959</v>
      </c>
      <c r="W104" s="37">
        <v>207.2953744649177</v>
      </c>
      <c r="X104" s="37">
        <v>198.24177363502082</v>
      </c>
      <c r="Y104" s="37">
        <v>155.9632242959479</v>
      </c>
      <c r="Z104" s="37">
        <v>173.61403110399709</v>
      </c>
      <c r="AA104" s="37">
        <v>277.2843660879272</v>
      </c>
      <c r="AB104" s="37">
        <v>178.75307223498496</v>
      </c>
      <c r="AC104" s="37">
        <v>196.60570876501316</v>
      </c>
      <c r="AD104" s="37">
        <v>190.5811564478343</v>
      </c>
      <c r="AE104" s="37">
        <v>173.1618256753265</v>
      </c>
      <c r="AF104" s="37"/>
      <c r="AG104" s="37">
        <v>136.9338138377673</v>
      </c>
      <c r="AH104" s="57"/>
    </row>
    <row r="105" spans="1:35" ht="75" x14ac:dyDescent="0.2">
      <c r="A105" s="112" t="s">
        <v>435</v>
      </c>
      <c r="B105" s="41" t="str">
        <f>[1]СВОД!B174</f>
        <v>1 услуга</v>
      </c>
      <c r="C105" s="41">
        <v>213.16</v>
      </c>
      <c r="D105" s="103">
        <v>269</v>
      </c>
      <c r="E105" s="170">
        <f t="shared" si="14"/>
        <v>279.76</v>
      </c>
      <c r="F105" s="38">
        <v>135.35804668264817</v>
      </c>
      <c r="G105" s="37"/>
      <c r="H105" s="37"/>
      <c r="I105" s="37">
        <v>358.56584307849829</v>
      </c>
      <c r="J105" s="37">
        <v>132.68161340003326</v>
      </c>
      <c r="K105" s="37">
        <v>176.7237538582761</v>
      </c>
      <c r="L105" s="37">
        <v>121.595377717269</v>
      </c>
      <c r="M105" s="37">
        <v>116.300566483732</v>
      </c>
      <c r="N105" s="37">
        <v>131.39792306065345</v>
      </c>
      <c r="O105" s="37">
        <v>142.32870924113146</v>
      </c>
      <c r="P105" s="37">
        <v>138.72133030749478</v>
      </c>
      <c r="Q105" s="37">
        <v>124.85297072756717</v>
      </c>
      <c r="R105" s="37">
        <v>164.76743387414373</v>
      </c>
      <c r="S105" s="37">
        <v>180.04014350743685</v>
      </c>
      <c r="T105" s="37">
        <v>147.62596554177506</v>
      </c>
      <c r="U105" s="37">
        <v>100.90932200133133</v>
      </c>
      <c r="V105" s="37">
        <v>135.6904765081722</v>
      </c>
      <c r="W105" s="37">
        <v>155.47153084868827</v>
      </c>
      <c r="X105" s="37">
        <v>148.6813302262656</v>
      </c>
      <c r="Y105" s="37">
        <v>116.97241822196091</v>
      </c>
      <c r="Z105" s="37">
        <v>130.21052332799783</v>
      </c>
      <c r="AA105" s="37">
        <v>207.9632745659454</v>
      </c>
      <c r="AB105" s="37">
        <v>134.06480417623871</v>
      </c>
      <c r="AC105" s="37">
        <v>147.45428157375989</v>
      </c>
      <c r="AD105" s="37">
        <v>142.93586733587574</v>
      </c>
      <c r="AE105" s="37">
        <v>129.87132006545554</v>
      </c>
      <c r="AF105" s="37">
        <v>135.09027396444185</v>
      </c>
      <c r="AG105" s="37">
        <v>102.70036037832547</v>
      </c>
      <c r="AH105" s="57"/>
    </row>
    <row r="106" spans="1:35" ht="30" x14ac:dyDescent="0.2">
      <c r="A106" s="112" t="s">
        <v>437</v>
      </c>
      <c r="B106" s="41" t="str">
        <f>[1]СВОД!B175</f>
        <v>1 услуга</v>
      </c>
      <c r="C106" s="41">
        <v>157.68</v>
      </c>
      <c r="D106" s="103">
        <v>199</v>
      </c>
      <c r="E106" s="170">
        <f t="shared" si="14"/>
        <v>206.96</v>
      </c>
      <c r="F106" s="38">
        <v>135.36298449192577</v>
      </c>
      <c r="G106" s="37"/>
      <c r="H106" s="37"/>
      <c r="I106" s="37">
        <v>358.56584307849829</v>
      </c>
      <c r="J106" s="37">
        <v>132.68161340003326</v>
      </c>
      <c r="K106" s="37">
        <v>176.7237538582761</v>
      </c>
      <c r="L106" s="37">
        <v>121.595377717269</v>
      </c>
      <c r="M106" s="37">
        <v>116.300566483732</v>
      </c>
      <c r="N106" s="37">
        <v>131.39792306065345</v>
      </c>
      <c r="O106" s="37">
        <v>142.32870924113146</v>
      </c>
      <c r="P106" s="37">
        <v>136.51006856078061</v>
      </c>
      <c r="Q106" s="37">
        <v>249.70563227958519</v>
      </c>
      <c r="R106" s="37">
        <v>185.87868229229235</v>
      </c>
      <c r="S106" s="37">
        <v>180.04014350743685</v>
      </c>
      <c r="T106" s="37">
        <v>147.62596554177506</v>
      </c>
      <c r="U106" s="37">
        <v>100.90932200133133</v>
      </c>
      <c r="V106" s="37">
        <v>135.6904765081722</v>
      </c>
      <c r="W106" s="37">
        <v>155.47153084868827</v>
      </c>
      <c r="X106" s="37">
        <v>148.6813302262656</v>
      </c>
      <c r="Y106" s="37">
        <v>116.97241822196091</v>
      </c>
      <c r="Z106" s="37">
        <v>130.21052332799783</v>
      </c>
      <c r="AA106" s="37">
        <v>207.9632745659454</v>
      </c>
      <c r="AB106" s="37">
        <v>134.06480417623871</v>
      </c>
      <c r="AC106" s="37">
        <v>147.45428157375989</v>
      </c>
      <c r="AD106" s="37">
        <v>142.93586733587574</v>
      </c>
      <c r="AE106" s="37">
        <v>129.87132006545554</v>
      </c>
      <c r="AF106" s="37">
        <v>135.09027396444185</v>
      </c>
      <c r="AG106" s="37">
        <v>102.70036037832547</v>
      </c>
      <c r="AH106" s="57"/>
    </row>
    <row r="107" spans="1:35" x14ac:dyDescent="0.2">
      <c r="A107" s="112" t="s">
        <v>436</v>
      </c>
      <c r="B107" s="41" t="str">
        <f>[1]СВОД!B176</f>
        <v>1 услуга</v>
      </c>
      <c r="C107" s="41">
        <v>355.52</v>
      </c>
      <c r="D107" s="103">
        <v>450</v>
      </c>
      <c r="E107" s="170">
        <f t="shared" si="14"/>
        <v>468</v>
      </c>
      <c r="F107" s="38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  <c r="AH107" s="57"/>
    </row>
    <row r="108" spans="1:35" ht="120" x14ac:dyDescent="0.2">
      <c r="A108" s="63" t="s">
        <v>438</v>
      </c>
      <c r="B108" s="41" t="s">
        <v>32</v>
      </c>
      <c r="C108" s="41"/>
      <c r="D108" s="103">
        <v>232</v>
      </c>
      <c r="E108" s="170">
        <f t="shared" si="14"/>
        <v>241.28</v>
      </c>
      <c r="F108" s="80">
        <v>270.71609336529633</v>
      </c>
      <c r="G108" s="81"/>
      <c r="H108" s="81"/>
      <c r="I108" s="81">
        <v>717.13168615699658</v>
      </c>
      <c r="J108" s="81">
        <v>265.36322680006651</v>
      </c>
      <c r="K108" s="81">
        <v>353.4475077165522</v>
      </c>
      <c r="L108" s="81">
        <v>243.190755434538</v>
      </c>
      <c r="M108" s="81">
        <v>232.601132967464</v>
      </c>
      <c r="N108" s="81">
        <v>262.79584612130691</v>
      </c>
      <c r="O108" s="81">
        <v>284.65741848226293</v>
      </c>
      <c r="P108" s="81">
        <v>277.44266061498956</v>
      </c>
      <c r="Q108" s="81">
        <v>249.70594145513434</v>
      </c>
      <c r="R108" s="81">
        <v>329.53486774828747</v>
      </c>
      <c r="S108" s="81">
        <v>326.79514457759325</v>
      </c>
      <c r="T108" s="81">
        <v>295.25193108355012</v>
      </c>
      <c r="U108" s="81">
        <v>201.81864400266267</v>
      </c>
      <c r="V108" s="81">
        <v>271.38095301634439</v>
      </c>
      <c r="W108" s="81">
        <v>310.94306169737655</v>
      </c>
      <c r="X108" s="81">
        <v>297.3626604525312</v>
      </c>
      <c r="Y108" s="81">
        <v>233.94483644392182</v>
      </c>
      <c r="Z108" s="81">
        <v>260.42104665599567</v>
      </c>
      <c r="AA108" s="81">
        <v>415.92654913189079</v>
      </c>
      <c r="AB108" s="81">
        <v>268.12960835247742</v>
      </c>
      <c r="AC108" s="81">
        <v>294.90856314751977</v>
      </c>
      <c r="AD108" s="81">
        <v>285.87173467175148</v>
      </c>
      <c r="AE108" s="81">
        <v>259.74273851298977</v>
      </c>
      <c r="AF108" s="81">
        <v>270.1805479288837</v>
      </c>
      <c r="AG108" s="122">
        <v>205.40072075665094</v>
      </c>
      <c r="AH108" s="123"/>
    </row>
    <row r="109" spans="1:35" ht="75" x14ac:dyDescent="0.2">
      <c r="A109" s="112" t="s">
        <v>439</v>
      </c>
      <c r="B109" s="41" t="s">
        <v>32</v>
      </c>
      <c r="C109" s="41"/>
      <c r="D109" s="103">
        <v>196</v>
      </c>
      <c r="E109" s="170">
        <f t="shared" si="14"/>
        <v>203.84</v>
      </c>
      <c r="F109" s="80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U109" s="81"/>
      <c r="V109" s="81"/>
      <c r="W109" s="81"/>
      <c r="X109" s="81"/>
      <c r="Y109" s="81"/>
      <c r="Z109" s="81"/>
      <c r="AA109" s="81"/>
      <c r="AB109" s="81"/>
      <c r="AC109" s="81"/>
      <c r="AD109" s="81"/>
      <c r="AE109" s="81"/>
      <c r="AF109" s="81"/>
      <c r="AG109" s="122"/>
      <c r="AH109" s="123"/>
    </row>
    <row r="110" spans="1:35" ht="15" customHeight="1" x14ac:dyDescent="0.2">
      <c r="A110" s="256" t="s">
        <v>422</v>
      </c>
      <c r="B110" s="257"/>
      <c r="C110" s="257"/>
      <c r="D110" s="257"/>
      <c r="E110" s="258"/>
      <c r="F110" s="70"/>
      <c r="G110" s="70"/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70"/>
      <c r="U110" s="70"/>
      <c r="V110" s="70"/>
      <c r="W110" s="70"/>
      <c r="X110" s="70"/>
      <c r="Y110" s="70"/>
      <c r="Z110" s="70"/>
      <c r="AA110" s="70"/>
      <c r="AB110" s="70"/>
      <c r="AC110" s="70"/>
      <c r="AD110" s="70"/>
      <c r="AE110" s="70"/>
      <c r="AF110" s="70"/>
      <c r="AG110" s="70"/>
      <c r="AH110" s="70"/>
      <c r="AI110" s="71"/>
    </row>
    <row r="111" spans="1:35" ht="75" x14ac:dyDescent="0.2">
      <c r="A111" s="112" t="s">
        <v>440</v>
      </c>
      <c r="B111" s="41" t="s">
        <v>32</v>
      </c>
      <c r="C111" s="41"/>
      <c r="D111" s="125">
        <v>225</v>
      </c>
      <c r="E111" s="172">
        <f>D111*1.04</f>
        <v>234</v>
      </c>
      <c r="F111" s="38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57"/>
    </row>
    <row r="112" spans="1:35" ht="15.75" x14ac:dyDescent="0.25">
      <c r="A112" s="246" t="str">
        <f>[1]СВОД!A178</f>
        <v>Социально-правовые услуги</v>
      </c>
      <c r="B112" s="247"/>
      <c r="C112" s="247"/>
      <c r="D112" s="247"/>
      <c r="E112" s="248"/>
      <c r="F112" s="38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57"/>
    </row>
    <row r="113" spans="1:34" ht="45" x14ac:dyDescent="0.2">
      <c r="A113" s="112" t="s">
        <v>441</v>
      </c>
      <c r="B113" s="41" t="str">
        <f>[1]СВОД!B215</f>
        <v>1 услуга</v>
      </c>
      <c r="C113" s="41">
        <v>198.93</v>
      </c>
      <c r="D113" s="103">
        <v>252</v>
      </c>
      <c r="E113" s="170">
        <f>D113*1.04</f>
        <v>262.08</v>
      </c>
      <c r="F113" s="38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57"/>
    </row>
    <row r="114" spans="1:34" ht="30" x14ac:dyDescent="0.2">
      <c r="A114" s="112" t="s">
        <v>442</v>
      </c>
      <c r="B114" s="41" t="s">
        <v>32</v>
      </c>
      <c r="C114" s="41"/>
      <c r="D114" s="103">
        <v>252</v>
      </c>
      <c r="E114" s="170">
        <f>D114*1.04</f>
        <v>262.08</v>
      </c>
      <c r="F114" s="38">
        <v>198.7059851540856</v>
      </c>
      <c r="G114" s="37"/>
      <c r="H114" s="37"/>
      <c r="I114" s="37">
        <v>392.53522645480643</v>
      </c>
      <c r="J114" s="37">
        <v>130.24883929470772</v>
      </c>
      <c r="K114" s="37">
        <v>176.7237538582761</v>
      </c>
      <c r="L114" s="37">
        <v>121.60491535768919</v>
      </c>
      <c r="M114" s="37">
        <v>127.92672005885869</v>
      </c>
      <c r="N114" s="37">
        <v>119.15413230062826</v>
      </c>
      <c r="O114" s="37">
        <v>127.39633630256181</v>
      </c>
      <c r="P114" s="37">
        <v>173.92081487605731</v>
      </c>
      <c r="Q114" s="37">
        <v>126.20224374165912</v>
      </c>
      <c r="R114" s="37">
        <v>200.65765524302972</v>
      </c>
      <c r="S114" s="37">
        <v>147.008450234452</v>
      </c>
      <c r="T114" s="37">
        <v>138.5627862623858</v>
      </c>
      <c r="U114" s="37">
        <v>102.00843092178079</v>
      </c>
      <c r="V114" s="37">
        <v>195.64446535243258</v>
      </c>
      <c r="W114" s="37">
        <v>184.27033275115517</v>
      </c>
      <c r="X114" s="37">
        <v>152.97169873991817</v>
      </c>
      <c r="Y114" s="37">
        <v>84.12</v>
      </c>
      <c r="Z114" s="37">
        <v>166.49579126419954</v>
      </c>
      <c r="AA114" s="37">
        <v>224.26023155106066</v>
      </c>
      <c r="AB114" s="37">
        <v>153.12107475095581</v>
      </c>
      <c r="AC114" s="37">
        <v>133.64540000338411</v>
      </c>
      <c r="AD114" s="37">
        <v>238.69363402885318</v>
      </c>
      <c r="AE114" s="37">
        <v>129.30003159454623</v>
      </c>
      <c r="AF114" s="37">
        <v>135.09027396444185</v>
      </c>
      <c r="AG114" s="37">
        <v>120.29778813404624</v>
      </c>
      <c r="AH114" s="57"/>
    </row>
    <row r="115" spans="1:34" ht="47.25" customHeight="1" x14ac:dyDescent="0.25">
      <c r="A115" s="259" t="s">
        <v>443</v>
      </c>
      <c r="B115" s="259"/>
      <c r="C115" s="259"/>
      <c r="D115" s="259"/>
      <c r="E115" s="259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73"/>
      <c r="U115" s="73"/>
      <c r="V115" s="73"/>
      <c r="W115" s="73"/>
      <c r="X115" s="73"/>
      <c r="Y115" s="73"/>
      <c r="Z115" s="73"/>
      <c r="AA115" s="73"/>
      <c r="AB115" s="73"/>
      <c r="AC115" s="73"/>
      <c r="AD115" s="73"/>
      <c r="AE115" s="73"/>
      <c r="AF115" s="73"/>
      <c r="AG115" s="73"/>
      <c r="AH115" s="74"/>
    </row>
    <row r="116" spans="1:34" ht="120" x14ac:dyDescent="0.2">
      <c r="A116" s="161" t="s">
        <v>444</v>
      </c>
      <c r="B116" s="166" t="s">
        <v>32</v>
      </c>
      <c r="C116" s="166"/>
      <c r="D116" s="103">
        <v>269</v>
      </c>
      <c r="E116" s="103">
        <f>D116*1.04</f>
        <v>279.76</v>
      </c>
      <c r="F116" s="72"/>
      <c r="G116" s="72"/>
      <c r="H116" s="72"/>
      <c r="I116" s="72"/>
      <c r="J116" s="72"/>
      <c r="K116" s="72"/>
      <c r="L116" s="72"/>
      <c r="M116" s="72"/>
      <c r="N116" s="72"/>
      <c r="O116" s="72"/>
      <c r="P116" s="72"/>
      <c r="Q116" s="72"/>
      <c r="R116" s="72"/>
      <c r="S116" s="72"/>
      <c r="T116" s="72"/>
      <c r="U116" s="72"/>
      <c r="V116" s="72"/>
      <c r="W116" s="72"/>
      <c r="X116" s="72"/>
      <c r="Y116" s="72"/>
      <c r="Z116" s="72"/>
      <c r="AA116" s="72"/>
      <c r="AB116" s="72"/>
      <c r="AC116" s="72"/>
      <c r="AD116" s="72"/>
      <c r="AE116" s="72"/>
      <c r="AF116" s="72"/>
      <c r="AG116" s="72"/>
      <c r="AH116" s="57"/>
    </row>
    <row r="117" spans="1:34" ht="105" x14ac:dyDescent="0.2">
      <c r="A117" s="161" t="s">
        <v>445</v>
      </c>
      <c r="B117" s="166" t="s">
        <v>32</v>
      </c>
      <c r="C117" s="166"/>
      <c r="D117" s="103">
        <v>225</v>
      </c>
      <c r="E117" s="103">
        <f t="shared" ref="E117:E118" si="15">D117*1.04</f>
        <v>234</v>
      </c>
      <c r="F117" s="72"/>
      <c r="G117" s="72"/>
      <c r="H117" s="72"/>
      <c r="I117" s="72"/>
      <c r="J117" s="72"/>
      <c r="K117" s="72"/>
      <c r="L117" s="72"/>
      <c r="M117" s="72"/>
      <c r="N117" s="72"/>
      <c r="O117" s="72"/>
      <c r="P117" s="72"/>
      <c r="Q117" s="72"/>
      <c r="R117" s="72"/>
      <c r="S117" s="72"/>
      <c r="T117" s="72"/>
      <c r="U117" s="72"/>
      <c r="V117" s="72"/>
      <c r="W117" s="72"/>
      <c r="X117" s="72"/>
      <c r="Y117" s="72"/>
      <c r="Z117" s="72"/>
      <c r="AA117" s="72"/>
      <c r="AB117" s="72"/>
      <c r="AC117" s="72"/>
      <c r="AD117" s="72"/>
      <c r="AE117" s="72"/>
      <c r="AF117" s="72"/>
      <c r="AG117" s="72"/>
      <c r="AH117" s="57"/>
    </row>
    <row r="118" spans="1:34" ht="148.5" customHeight="1" x14ac:dyDescent="0.2">
      <c r="A118" s="69" t="s">
        <v>616</v>
      </c>
      <c r="B118" s="166" t="s">
        <v>32</v>
      </c>
      <c r="C118" s="166"/>
      <c r="D118" s="103">
        <v>198</v>
      </c>
      <c r="E118" s="103">
        <f t="shared" si="15"/>
        <v>205.92000000000002</v>
      </c>
      <c r="F118" s="72"/>
      <c r="G118" s="72"/>
      <c r="H118" s="72"/>
      <c r="I118" s="72"/>
      <c r="J118" s="72"/>
      <c r="K118" s="72"/>
      <c r="L118" s="72"/>
      <c r="M118" s="72"/>
      <c r="N118" s="72"/>
      <c r="O118" s="72"/>
      <c r="P118" s="72"/>
      <c r="Q118" s="72"/>
      <c r="R118" s="72"/>
      <c r="S118" s="72"/>
      <c r="T118" s="72"/>
      <c r="U118" s="72"/>
      <c r="V118" s="72"/>
      <c r="W118" s="72"/>
      <c r="X118" s="72"/>
      <c r="Y118" s="72"/>
      <c r="Z118" s="72"/>
      <c r="AA118" s="72"/>
      <c r="AB118" s="72"/>
      <c r="AC118" s="72"/>
      <c r="AD118" s="72"/>
      <c r="AE118" s="72"/>
      <c r="AF118" s="72"/>
      <c r="AG118" s="72"/>
      <c r="AH118" s="57"/>
    </row>
    <row r="119" spans="1:34" s="87" customFormat="1" ht="31.5" customHeight="1" x14ac:dyDescent="0.2">
      <c r="A119" s="260" t="s">
        <v>617</v>
      </c>
      <c r="B119" s="261"/>
      <c r="C119" s="261"/>
      <c r="D119" s="261"/>
      <c r="E119" s="262"/>
      <c r="F119" s="113"/>
      <c r="G119" s="113"/>
      <c r="H119" s="113"/>
      <c r="I119" s="113"/>
      <c r="J119" s="113"/>
      <c r="K119" s="113"/>
      <c r="L119" s="113"/>
      <c r="M119" s="113"/>
      <c r="N119" s="113"/>
      <c r="O119" s="113"/>
      <c r="P119" s="113"/>
      <c r="Q119" s="113"/>
      <c r="R119" s="113"/>
      <c r="S119" s="113"/>
      <c r="T119" s="113"/>
      <c r="U119" s="113"/>
      <c r="V119" s="113"/>
      <c r="W119" s="113"/>
      <c r="X119" s="113"/>
      <c r="Y119" s="113"/>
      <c r="Z119" s="113"/>
      <c r="AA119" s="113"/>
      <c r="AB119" s="113"/>
      <c r="AC119" s="113"/>
      <c r="AD119" s="113"/>
      <c r="AE119" s="113"/>
      <c r="AF119" s="113"/>
      <c r="AG119" s="113"/>
      <c r="AH119" s="114"/>
    </row>
    <row r="120" spans="1:34" s="87" customFormat="1" ht="15.75" x14ac:dyDescent="0.25">
      <c r="A120" s="253" t="str">
        <f>[1]СВОД!A181</f>
        <v>Социально-бытовые услуги</v>
      </c>
      <c r="B120" s="254"/>
      <c r="C120" s="254"/>
      <c r="D120" s="254"/>
      <c r="E120" s="255"/>
      <c r="F120" s="85"/>
      <c r="G120" s="86"/>
      <c r="H120" s="86"/>
      <c r="I120" s="86"/>
      <c r="J120" s="86"/>
      <c r="K120" s="86"/>
      <c r="L120" s="86"/>
      <c r="M120" s="86"/>
      <c r="N120" s="86"/>
      <c r="O120" s="86"/>
      <c r="P120" s="86"/>
      <c r="Q120" s="86"/>
      <c r="R120" s="86"/>
      <c r="S120" s="86"/>
      <c r="T120" s="86"/>
      <c r="U120" s="86"/>
      <c r="V120" s="86"/>
      <c r="W120" s="86"/>
      <c r="X120" s="86"/>
      <c r="Y120" s="86"/>
      <c r="Z120" s="86"/>
      <c r="AA120" s="86"/>
      <c r="AB120" s="86"/>
      <c r="AC120" s="86"/>
      <c r="AD120" s="86"/>
      <c r="AE120" s="86"/>
      <c r="AF120" s="86"/>
      <c r="AG120" s="86"/>
      <c r="AH120" s="114"/>
    </row>
    <row r="121" spans="1:34" s="87" customFormat="1" ht="75" x14ac:dyDescent="0.2">
      <c r="A121" s="115" t="s">
        <v>423</v>
      </c>
      <c r="B121" s="89" t="str">
        <f>[1]СВОД!B182</f>
        <v>1 раз в день</v>
      </c>
      <c r="C121" s="89">
        <v>67.03</v>
      </c>
      <c r="D121" s="125">
        <v>85</v>
      </c>
      <c r="E121" s="125">
        <f>D121*1.04</f>
        <v>88.4</v>
      </c>
      <c r="F121" s="85">
        <v>62.500250000000008</v>
      </c>
      <c r="G121" s="86">
        <v>62.500250000000008</v>
      </c>
      <c r="H121" s="86">
        <v>192.91984385061991</v>
      </c>
      <c r="I121" s="86">
        <v>50.00206339999999</v>
      </c>
      <c r="J121" s="86"/>
      <c r="K121" s="86">
        <v>62.499124999999999</v>
      </c>
      <c r="L121" s="86"/>
      <c r="M121" s="86"/>
      <c r="N121" s="86">
        <v>62.500250000000008</v>
      </c>
      <c r="O121" s="86">
        <v>50</v>
      </c>
      <c r="P121" s="86">
        <v>62.500250000000008</v>
      </c>
      <c r="Q121" s="86"/>
      <c r="R121" s="86"/>
      <c r="S121" s="86"/>
      <c r="T121" s="86"/>
      <c r="U121" s="86">
        <v>62.5</v>
      </c>
      <c r="V121" s="86">
        <v>62.5</v>
      </c>
      <c r="W121" s="86">
        <v>49.998874999999998</v>
      </c>
      <c r="X121" s="86">
        <v>62.5</v>
      </c>
      <c r="Y121" s="86"/>
      <c r="Z121" s="86">
        <v>62.5</v>
      </c>
      <c r="AA121" s="86"/>
      <c r="AB121" s="86">
        <v>62.5</v>
      </c>
      <c r="AC121" s="86">
        <v>90</v>
      </c>
      <c r="AD121" s="86"/>
      <c r="AE121" s="86">
        <v>62.5</v>
      </c>
      <c r="AF121" s="86"/>
      <c r="AG121" s="86">
        <v>41</v>
      </c>
      <c r="AH121" s="114"/>
    </row>
    <row r="122" spans="1:34" s="87" customFormat="1" ht="45.75" customHeight="1" x14ac:dyDescent="0.2">
      <c r="A122" s="126" t="str">
        <f>[1]СВОД!A183</f>
        <v>Консультирование по вопросам социально-бытовой адаптации и социально-средовой реабилитации</v>
      </c>
      <c r="B122" s="89" t="str">
        <f>[1]СВОД!B183</f>
        <v>1 услуга</v>
      </c>
      <c r="C122" s="89">
        <v>177.77</v>
      </c>
      <c r="D122" s="125">
        <v>225</v>
      </c>
      <c r="E122" s="125">
        <f>D122*1.04</f>
        <v>234</v>
      </c>
      <c r="F122" s="85">
        <v>139.03473417204219</v>
      </c>
      <c r="G122" s="86">
        <v>153.66220415416609</v>
      </c>
      <c r="H122" s="86">
        <v>144.7760510123878</v>
      </c>
      <c r="I122" s="86">
        <v>358.56584307849829</v>
      </c>
      <c r="J122" s="86">
        <v>130.24883929470772</v>
      </c>
      <c r="K122" s="86">
        <v>176.7237538582761</v>
      </c>
      <c r="L122" s="86">
        <v>118.47465859256249</v>
      </c>
      <c r="M122" s="86">
        <v>88.958572021617158</v>
      </c>
      <c r="N122" s="86">
        <v>131.39792306065345</v>
      </c>
      <c r="O122" s="86">
        <v>142.32870924113146</v>
      </c>
      <c r="P122" s="86">
        <v>136.51006856078061</v>
      </c>
      <c r="Q122" s="86">
        <v>124.85297072756717</v>
      </c>
      <c r="R122" s="86"/>
      <c r="S122" s="86"/>
      <c r="T122" s="86">
        <v>138.5627862623858</v>
      </c>
      <c r="U122" s="86">
        <v>100.91415551773702</v>
      </c>
      <c r="V122" s="86">
        <v>135.6904765081722</v>
      </c>
      <c r="W122" s="86">
        <v>155.47153084868827</v>
      </c>
      <c r="X122" s="86">
        <v>148.6813302262656</v>
      </c>
      <c r="Y122" s="86">
        <v>116.94637599372066</v>
      </c>
      <c r="Z122" s="86">
        <v>130.21052332799783</v>
      </c>
      <c r="AA122" s="86">
        <v>207.9632745659454</v>
      </c>
      <c r="AB122" s="86">
        <v>134.06480417623871</v>
      </c>
      <c r="AC122" s="86"/>
      <c r="AD122" s="86">
        <v>123.49740410550217</v>
      </c>
      <c r="AE122" s="86">
        <v>129.87137267619283</v>
      </c>
      <c r="AF122" s="86">
        <v>135.09027396444185</v>
      </c>
      <c r="AG122" s="86">
        <v>108.34624105624553</v>
      </c>
      <c r="AH122" s="114"/>
    </row>
    <row r="123" spans="1:34" s="87" customFormat="1" ht="45" x14ac:dyDescent="0.2">
      <c r="A123" s="126" t="str">
        <f>[1]СВОД!A184</f>
        <v>Оказание содействия в реализации мероприятий по социально-бытовой адаптации</v>
      </c>
      <c r="B123" s="89" t="str">
        <f>[1]СВОД!B184</f>
        <v>1 услуга</v>
      </c>
      <c r="C123" s="89">
        <v>177.77</v>
      </c>
      <c r="D123" s="125">
        <v>225</v>
      </c>
      <c r="E123" s="125">
        <f t="shared" ref="E123" si="16">D123*1.04</f>
        <v>234</v>
      </c>
      <c r="F123" s="85">
        <v>139.03473417204219</v>
      </c>
      <c r="G123" s="86">
        <v>153.66220415416609</v>
      </c>
      <c r="H123" s="86">
        <v>144.7760510123878</v>
      </c>
      <c r="I123" s="86">
        <v>358.56584307849829</v>
      </c>
      <c r="J123" s="86">
        <v>130.24883929470772</v>
      </c>
      <c r="K123" s="86">
        <v>176.7237538582761</v>
      </c>
      <c r="L123" s="86">
        <v>118.47465859256249</v>
      </c>
      <c r="M123" s="86">
        <v>88.958572021617158</v>
      </c>
      <c r="N123" s="86">
        <v>131.39792306065345</v>
      </c>
      <c r="O123" s="86">
        <v>142.32870924113146</v>
      </c>
      <c r="P123" s="86">
        <v>136.51006856078061</v>
      </c>
      <c r="Q123" s="86">
        <v>124.85297072756717</v>
      </c>
      <c r="R123" s="86"/>
      <c r="S123" s="86"/>
      <c r="T123" s="86">
        <v>138.5627862623858</v>
      </c>
      <c r="U123" s="86">
        <v>100.91415551773702</v>
      </c>
      <c r="V123" s="86">
        <v>135.6904765081722</v>
      </c>
      <c r="W123" s="86">
        <v>155.47153084868827</v>
      </c>
      <c r="X123" s="86">
        <v>148.6813302262656</v>
      </c>
      <c r="Y123" s="86">
        <v>116.94637599372066</v>
      </c>
      <c r="Z123" s="86">
        <v>130.21052332799783</v>
      </c>
      <c r="AA123" s="86">
        <v>207.9632745659454</v>
      </c>
      <c r="AB123" s="86">
        <v>134.06480417623871</v>
      </c>
      <c r="AC123" s="86">
        <v>157.72025424457283</v>
      </c>
      <c r="AD123" s="86">
        <v>123.49740410550217</v>
      </c>
      <c r="AE123" s="86">
        <v>129.87132006545554</v>
      </c>
      <c r="AF123" s="86">
        <v>135.09027396444185</v>
      </c>
      <c r="AG123" s="86">
        <v>108.34624105624553</v>
      </c>
      <c r="AH123" s="114"/>
    </row>
    <row r="124" spans="1:34" s="87" customFormat="1" ht="15.75" x14ac:dyDescent="0.25">
      <c r="A124" s="253" t="str">
        <f>[1]СВОД!A185</f>
        <v>Социально-медицинские услуги</v>
      </c>
      <c r="B124" s="254"/>
      <c r="C124" s="254"/>
      <c r="D124" s="254"/>
      <c r="E124" s="255"/>
      <c r="F124" s="85"/>
      <c r="G124" s="86"/>
      <c r="H124" s="86"/>
      <c r="I124" s="86"/>
      <c r="J124" s="86"/>
      <c r="K124" s="86"/>
      <c r="L124" s="86"/>
      <c r="M124" s="86"/>
      <c r="N124" s="86"/>
      <c r="O124" s="86"/>
      <c r="P124" s="86"/>
      <c r="Q124" s="86"/>
      <c r="R124" s="86"/>
      <c r="S124" s="86"/>
      <c r="T124" s="86"/>
      <c r="U124" s="86"/>
      <c r="V124" s="86"/>
      <c r="W124" s="86"/>
      <c r="X124" s="86"/>
      <c r="Y124" s="86"/>
      <c r="Z124" s="86"/>
      <c r="AA124" s="86"/>
      <c r="AB124" s="86"/>
      <c r="AC124" s="86"/>
      <c r="AD124" s="86"/>
      <c r="AE124" s="86"/>
      <c r="AF124" s="86"/>
      <c r="AG124" s="86"/>
      <c r="AH124" s="114"/>
    </row>
    <row r="125" spans="1:34" s="87" customFormat="1" ht="30" x14ac:dyDescent="0.2">
      <c r="A125" s="126" t="str">
        <f>[1]СВОД!A186</f>
        <v>Консультирование по вопросам социально-медицинской реабилитации</v>
      </c>
      <c r="B125" s="89" t="str">
        <f>[1]СВОД!B186</f>
        <v>1 услуга</v>
      </c>
      <c r="C125" s="89">
        <v>121.67</v>
      </c>
      <c r="D125" s="125">
        <v>154</v>
      </c>
      <c r="E125" s="125">
        <f>D125*1.04</f>
        <v>160.16</v>
      </c>
      <c r="F125" s="85">
        <v>86.495307116501863</v>
      </c>
      <c r="G125" s="86">
        <v>102.44146943611074</v>
      </c>
      <c r="H125" s="86">
        <v>96.517367341591864</v>
      </c>
      <c r="I125" s="86">
        <v>290.33670595769718</v>
      </c>
      <c r="J125" s="86"/>
      <c r="K125" s="86">
        <v>117.8158359055174</v>
      </c>
      <c r="L125" s="86">
        <v>78.983105728375008</v>
      </c>
      <c r="M125" s="86"/>
      <c r="N125" s="86"/>
      <c r="O125" s="86">
        <v>94.885806160754328</v>
      </c>
      <c r="P125" s="86">
        <v>99.048087734175851</v>
      </c>
      <c r="Q125" s="86">
        <v>83.235313818378103</v>
      </c>
      <c r="R125" s="86"/>
      <c r="S125" s="86"/>
      <c r="T125" s="86"/>
      <c r="U125" s="86">
        <v>67.276103678491353</v>
      </c>
      <c r="V125" s="86"/>
      <c r="W125" s="86"/>
      <c r="X125" s="86">
        <v>99.12088681751041</v>
      </c>
      <c r="Y125" s="86">
        <v>62.332443739531641</v>
      </c>
      <c r="Z125" s="86"/>
      <c r="AA125" s="86">
        <v>124.77796473956722</v>
      </c>
      <c r="AB125" s="86"/>
      <c r="AC125" s="86"/>
      <c r="AD125" s="86">
        <v>82.331602737001447</v>
      </c>
      <c r="AE125" s="86"/>
      <c r="AF125" s="86"/>
      <c r="AG125" s="86"/>
      <c r="AH125" s="114"/>
    </row>
    <row r="126" spans="1:34" s="87" customFormat="1" ht="30" x14ac:dyDescent="0.2">
      <c r="A126" s="115" t="s">
        <v>425</v>
      </c>
      <c r="B126" s="89" t="s">
        <v>32</v>
      </c>
      <c r="C126" s="89">
        <v>257.52999999999997</v>
      </c>
      <c r="D126" s="125">
        <v>325</v>
      </c>
      <c r="E126" s="125">
        <f>D126*1.04</f>
        <v>338</v>
      </c>
      <c r="F126" s="85"/>
      <c r="G126" s="86"/>
      <c r="H126" s="86"/>
      <c r="I126" s="86"/>
      <c r="J126" s="86"/>
      <c r="K126" s="86"/>
      <c r="L126" s="86"/>
      <c r="M126" s="86"/>
      <c r="N126" s="86"/>
      <c r="O126" s="86"/>
      <c r="P126" s="86"/>
      <c r="Q126" s="86"/>
      <c r="R126" s="86"/>
      <c r="S126" s="86"/>
      <c r="T126" s="86"/>
      <c r="U126" s="86"/>
      <c r="V126" s="86"/>
      <c r="W126" s="86"/>
      <c r="X126" s="86"/>
      <c r="Y126" s="86"/>
      <c r="Z126" s="86"/>
      <c r="AA126" s="86"/>
      <c r="AB126" s="86"/>
      <c r="AC126" s="86"/>
      <c r="AD126" s="86"/>
      <c r="AE126" s="86"/>
      <c r="AF126" s="86"/>
      <c r="AG126" s="86"/>
      <c r="AH126" s="114"/>
    </row>
    <row r="127" spans="1:34" s="87" customFormat="1" ht="30" hidden="1" outlineLevel="1" x14ac:dyDescent="0.2">
      <c r="A127" s="126" t="str">
        <f>[1]СВОД!A189</f>
        <v xml:space="preserve"> - массаж головы (лобно-височной и затылочно-теменной области) - 1 ед.</v>
      </c>
      <c r="B127" s="89" t="str">
        <f>[1]СВОД!B189</f>
        <v>1 услуга</v>
      </c>
      <c r="C127" s="89"/>
      <c r="D127" s="125">
        <f t="shared" ref="D127:D167" si="17">ROUND(C127*1.1,0)</f>
        <v>0</v>
      </c>
      <c r="E127" s="125"/>
      <c r="F127" s="85">
        <v>57.663538077667916</v>
      </c>
      <c r="G127" s="86"/>
      <c r="H127" s="86">
        <v>40.464896346530566</v>
      </c>
      <c r="I127" s="86">
        <v>98.133801434897492</v>
      </c>
      <c r="J127" s="86"/>
      <c r="K127" s="86"/>
      <c r="L127" s="86"/>
      <c r="M127" s="86"/>
      <c r="N127" s="86"/>
      <c r="O127" s="86">
        <v>47.442903080377164</v>
      </c>
      <c r="P127" s="86">
        <v>47.254324419851827</v>
      </c>
      <c r="Q127" s="86">
        <v>83.235210759861715</v>
      </c>
      <c r="R127" s="86"/>
      <c r="S127" s="86"/>
      <c r="T127" s="86"/>
      <c r="U127" s="86">
        <v>33.638051839245676</v>
      </c>
      <c r="V127" s="86"/>
      <c r="W127" s="86"/>
      <c r="X127" s="86"/>
      <c r="Y127" s="86">
        <v>31.16622186976582</v>
      </c>
      <c r="Z127" s="86"/>
      <c r="AA127" s="86">
        <v>62.388982369783612</v>
      </c>
      <c r="AB127" s="86"/>
      <c r="AC127" s="86"/>
      <c r="AD127" s="86">
        <v>41.165801368500723</v>
      </c>
      <c r="AE127" s="86"/>
      <c r="AF127" s="86"/>
      <c r="AG127" s="86"/>
      <c r="AH127" s="114"/>
    </row>
    <row r="128" spans="1:34" s="87" customFormat="1" ht="30" hidden="1" outlineLevel="1" x14ac:dyDescent="0.2">
      <c r="A128" s="126" t="str">
        <f>[1]СВОД!A190</f>
        <v xml:space="preserve"> - массаж лица (лобной, окологлазничной, верхне- и нижнечелюстной области ) -1 ед.</v>
      </c>
      <c r="B128" s="89" t="str">
        <f>[1]СВОД!B190</f>
        <v>1 услуга</v>
      </c>
      <c r="C128" s="89"/>
      <c r="D128" s="125">
        <f t="shared" si="17"/>
        <v>0</v>
      </c>
      <c r="E128" s="125"/>
      <c r="F128" s="85">
        <v>57.663538077667916</v>
      </c>
      <c r="G128" s="86"/>
      <c r="H128" s="86">
        <v>40.464896346530566</v>
      </c>
      <c r="I128" s="86">
        <v>98.133801434897492</v>
      </c>
      <c r="J128" s="86"/>
      <c r="K128" s="86"/>
      <c r="L128" s="86"/>
      <c r="M128" s="86"/>
      <c r="N128" s="86"/>
      <c r="O128" s="86">
        <v>47.442903080377164</v>
      </c>
      <c r="P128" s="86">
        <v>47.254324419851827</v>
      </c>
      <c r="Q128" s="86">
        <v>83.235210759861715</v>
      </c>
      <c r="R128" s="86"/>
      <c r="S128" s="86"/>
      <c r="T128" s="86"/>
      <c r="U128" s="86">
        <v>33.638051839245676</v>
      </c>
      <c r="V128" s="86"/>
      <c r="W128" s="86"/>
      <c r="X128" s="86"/>
      <c r="Y128" s="86">
        <v>31.16622186976582</v>
      </c>
      <c r="Z128" s="86"/>
      <c r="AA128" s="86">
        <v>62.388982369783612</v>
      </c>
      <c r="AB128" s="86"/>
      <c r="AC128" s="86"/>
      <c r="AD128" s="86">
        <v>41.165801368500723</v>
      </c>
      <c r="AE128" s="86"/>
      <c r="AF128" s="86"/>
      <c r="AG128" s="86"/>
      <c r="AH128" s="114"/>
    </row>
    <row r="129" spans="1:34" s="87" customFormat="1" hidden="1" outlineLevel="1" x14ac:dyDescent="0.2">
      <c r="A129" s="126" t="str">
        <f>[1]СВОД!A191</f>
        <v xml:space="preserve"> - массаж шеи - 1 ед.</v>
      </c>
      <c r="B129" s="89" t="str">
        <f>[1]СВОД!B191</f>
        <v>1 услуга</v>
      </c>
      <c r="C129" s="89"/>
      <c r="D129" s="125">
        <f t="shared" si="17"/>
        <v>0</v>
      </c>
      <c r="E129" s="125"/>
      <c r="F129" s="85">
        <v>57.663538077667916</v>
      </c>
      <c r="G129" s="86"/>
      <c r="H129" s="86">
        <v>40.464896346530566</v>
      </c>
      <c r="I129" s="86">
        <v>98.133801434897492</v>
      </c>
      <c r="J129" s="86"/>
      <c r="K129" s="86"/>
      <c r="L129" s="86"/>
      <c r="M129" s="86"/>
      <c r="N129" s="86"/>
      <c r="O129" s="86">
        <v>47.442903080377164</v>
      </c>
      <c r="P129" s="86">
        <v>47.254324419851827</v>
      </c>
      <c r="Q129" s="86">
        <v>83.235210759861715</v>
      </c>
      <c r="R129" s="86"/>
      <c r="S129" s="86"/>
      <c r="T129" s="86"/>
      <c r="U129" s="86">
        <v>33.638051839245676</v>
      </c>
      <c r="V129" s="86"/>
      <c r="W129" s="86"/>
      <c r="X129" s="86"/>
      <c r="Y129" s="86">
        <v>31.16622186976582</v>
      </c>
      <c r="Z129" s="86"/>
      <c r="AA129" s="86">
        <v>62.388982369783612</v>
      </c>
      <c r="AB129" s="86"/>
      <c r="AC129" s="86"/>
      <c r="AD129" s="86">
        <v>41.165801368500723</v>
      </c>
      <c r="AE129" s="86"/>
      <c r="AF129" s="86"/>
      <c r="AG129" s="86"/>
      <c r="AH129" s="114"/>
    </row>
    <row r="130" spans="1:34" s="87" customFormat="1" ht="60" hidden="1" outlineLevel="1" x14ac:dyDescent="0.2">
      <c r="A130" s="126" t="str">
        <f>[1]СВОД!A192</f>
        <v xml:space="preserve"> - массаж воротниковой зоны ( задней поверхности шеи, спины до уровня 4-го грудного позвонка, передней поверхности грудной клетки до 2-го ребра - 1,5 ед.</v>
      </c>
      <c r="B130" s="89" t="str">
        <f>[1]СВОД!B192</f>
        <v>1 услуга</v>
      </c>
      <c r="C130" s="89"/>
      <c r="D130" s="125">
        <f t="shared" si="17"/>
        <v>0</v>
      </c>
      <c r="E130" s="125"/>
      <c r="F130" s="85">
        <v>86.495307116501863</v>
      </c>
      <c r="G130" s="86"/>
      <c r="H130" s="86">
        <v>60.697344519795855</v>
      </c>
      <c r="I130" s="86">
        <v>147.20070215234625</v>
      </c>
      <c r="J130" s="86"/>
      <c r="K130" s="86"/>
      <c r="L130" s="86"/>
      <c r="M130" s="86"/>
      <c r="N130" s="86"/>
      <c r="O130" s="86">
        <v>71.164354620565732</v>
      </c>
      <c r="P130" s="86">
        <v>70.88148662977774</v>
      </c>
      <c r="Q130" s="86">
        <v>124.85281613979259</v>
      </c>
      <c r="R130" s="86"/>
      <c r="S130" s="86"/>
      <c r="T130" s="86"/>
      <c r="U130" s="86">
        <v>50.457077758868508</v>
      </c>
      <c r="V130" s="86"/>
      <c r="W130" s="86"/>
      <c r="X130" s="86"/>
      <c r="Y130" s="86">
        <v>46.749332804648738</v>
      </c>
      <c r="Z130" s="86"/>
      <c r="AA130" s="86">
        <v>93.583473554675408</v>
      </c>
      <c r="AB130" s="86"/>
      <c r="AC130" s="86"/>
      <c r="AD130" s="86">
        <v>61.748702052751085</v>
      </c>
      <c r="AE130" s="86"/>
      <c r="AF130" s="86"/>
      <c r="AG130" s="86"/>
      <c r="AH130" s="114"/>
    </row>
    <row r="131" spans="1:34" s="87" customFormat="1" hidden="1" outlineLevel="1" x14ac:dyDescent="0.2">
      <c r="A131" s="126" t="str">
        <f>[1]СВОД!A193</f>
        <v xml:space="preserve"> - массаж  верхней конечности - 1,5 ед.</v>
      </c>
      <c r="B131" s="89" t="str">
        <f>[1]СВОД!B193</f>
        <v>1 услуга</v>
      </c>
      <c r="C131" s="89"/>
      <c r="D131" s="125">
        <f t="shared" si="17"/>
        <v>0</v>
      </c>
      <c r="E131" s="125"/>
      <c r="F131" s="85">
        <v>86.495307116501863</v>
      </c>
      <c r="G131" s="86"/>
      <c r="H131" s="86">
        <v>60.697344519795855</v>
      </c>
      <c r="I131" s="86">
        <v>147.20070215234625</v>
      </c>
      <c r="J131" s="86"/>
      <c r="K131" s="86"/>
      <c r="L131" s="86"/>
      <c r="M131" s="86"/>
      <c r="N131" s="86"/>
      <c r="O131" s="86">
        <v>71.164354620565732</v>
      </c>
      <c r="P131" s="86">
        <v>70.88148662977774</v>
      </c>
      <c r="Q131" s="86">
        <v>124.85281613979259</v>
      </c>
      <c r="R131" s="86"/>
      <c r="S131" s="86"/>
      <c r="T131" s="86"/>
      <c r="U131" s="86">
        <v>50.457077758868508</v>
      </c>
      <c r="V131" s="86"/>
      <c r="W131" s="86"/>
      <c r="X131" s="86"/>
      <c r="Y131" s="86">
        <v>46.749332804648738</v>
      </c>
      <c r="Z131" s="86"/>
      <c r="AA131" s="86">
        <v>93.583473554675408</v>
      </c>
      <c r="AB131" s="86"/>
      <c r="AC131" s="86"/>
      <c r="AD131" s="86">
        <v>61.748702052751085</v>
      </c>
      <c r="AE131" s="86"/>
      <c r="AF131" s="86"/>
      <c r="AG131" s="86"/>
      <c r="AH131" s="114"/>
    </row>
    <row r="132" spans="1:34" s="87" customFormat="1" ht="30" hidden="1" outlineLevel="1" x14ac:dyDescent="0.2">
      <c r="A132" s="126" t="str">
        <f>[1]СВОД!A194</f>
        <v xml:space="preserve"> - массаж верхней конечности, надплечья и области лопатки - 2 ед.</v>
      </c>
      <c r="B132" s="89" t="str">
        <f>[1]СВОД!B194</f>
        <v>1 услуга</v>
      </c>
      <c r="C132" s="89"/>
      <c r="D132" s="125">
        <f t="shared" si="17"/>
        <v>0</v>
      </c>
      <c r="E132" s="125"/>
      <c r="F132" s="85">
        <v>115.32707615533583</v>
      </c>
      <c r="G132" s="86"/>
      <c r="H132" s="86">
        <v>80.929792693061131</v>
      </c>
      <c r="I132" s="86">
        <v>196.26760286979498</v>
      </c>
      <c r="J132" s="86"/>
      <c r="K132" s="86"/>
      <c r="L132" s="86"/>
      <c r="M132" s="86"/>
      <c r="N132" s="86"/>
      <c r="O132" s="86">
        <v>94.885806160754328</v>
      </c>
      <c r="P132" s="86">
        <v>94.508648839703653</v>
      </c>
      <c r="Q132" s="86">
        <v>166.47042151972343</v>
      </c>
      <c r="R132" s="86"/>
      <c r="S132" s="86"/>
      <c r="T132" s="86"/>
      <c r="U132" s="86">
        <v>67.276103678491353</v>
      </c>
      <c r="V132" s="86"/>
      <c r="W132" s="86"/>
      <c r="X132" s="86"/>
      <c r="Y132" s="86">
        <v>62.332443739531641</v>
      </c>
      <c r="Z132" s="86"/>
      <c r="AA132" s="86">
        <v>124.77796473956722</v>
      </c>
      <c r="AB132" s="86"/>
      <c r="AC132" s="86"/>
      <c r="AD132" s="86">
        <v>82.331602737001447</v>
      </c>
      <c r="AE132" s="86"/>
      <c r="AF132" s="86"/>
      <c r="AG132" s="86"/>
      <c r="AH132" s="114"/>
    </row>
    <row r="133" spans="1:34" s="87" customFormat="1" ht="45" hidden="1" outlineLevel="1" x14ac:dyDescent="0.2">
      <c r="A133" s="126" t="str">
        <f>[1]СВОД!A195</f>
        <v xml:space="preserve"> - массаж плечевого сустава ( верхней трети плеча, области плечевого сустава и надплечья одноимённой стороны ) - 1 ед.</v>
      </c>
      <c r="B133" s="89" t="str">
        <f>[1]СВОД!B195</f>
        <v>1 услуга</v>
      </c>
      <c r="C133" s="89"/>
      <c r="D133" s="125">
        <f t="shared" si="17"/>
        <v>0</v>
      </c>
      <c r="E133" s="125"/>
      <c r="F133" s="85">
        <v>57.663538077667916</v>
      </c>
      <c r="G133" s="86"/>
      <c r="H133" s="86">
        <v>40.464896346530566</v>
      </c>
      <c r="I133" s="86">
        <v>98.133801434897492</v>
      </c>
      <c r="J133" s="86"/>
      <c r="K133" s="86"/>
      <c r="L133" s="86"/>
      <c r="M133" s="86"/>
      <c r="N133" s="86"/>
      <c r="O133" s="86">
        <v>47.442903080377164</v>
      </c>
      <c r="P133" s="86">
        <v>47.254324419851827</v>
      </c>
      <c r="Q133" s="86">
        <v>83.235210759861715</v>
      </c>
      <c r="R133" s="86"/>
      <c r="S133" s="86"/>
      <c r="T133" s="86"/>
      <c r="U133" s="86">
        <v>33.638051839245676</v>
      </c>
      <c r="V133" s="86"/>
      <c r="W133" s="86"/>
      <c r="X133" s="86"/>
      <c r="Y133" s="86">
        <v>31.16622186976582</v>
      </c>
      <c r="Z133" s="86"/>
      <c r="AA133" s="86">
        <v>62.388982369783612</v>
      </c>
      <c r="AB133" s="86"/>
      <c r="AC133" s="86"/>
      <c r="AD133" s="86">
        <v>41.165801368500723</v>
      </c>
      <c r="AE133" s="86"/>
      <c r="AF133" s="86"/>
      <c r="AG133" s="86"/>
      <c r="AH133" s="114"/>
    </row>
    <row r="134" spans="1:34" s="87" customFormat="1" ht="45" hidden="1" outlineLevel="1" x14ac:dyDescent="0.2">
      <c r="A134" s="126" t="str">
        <f>[1]СВОД!A196</f>
        <v xml:space="preserve"> - массаж локтевого сустава ( верхней трети предплечья, области локтевого сустава и нижней трети плеча ) - 1 ед.</v>
      </c>
      <c r="B134" s="89" t="str">
        <f>[1]СВОД!B196</f>
        <v>1 услуга</v>
      </c>
      <c r="C134" s="89"/>
      <c r="D134" s="125">
        <f t="shared" si="17"/>
        <v>0</v>
      </c>
      <c r="E134" s="125"/>
      <c r="F134" s="85">
        <v>57.663538077667916</v>
      </c>
      <c r="G134" s="86"/>
      <c r="H134" s="86">
        <v>40.464896346530566</v>
      </c>
      <c r="I134" s="86">
        <v>98.133801434897492</v>
      </c>
      <c r="J134" s="86"/>
      <c r="K134" s="86"/>
      <c r="L134" s="86"/>
      <c r="M134" s="86"/>
      <c r="N134" s="86"/>
      <c r="O134" s="86">
        <v>47.442903080377164</v>
      </c>
      <c r="P134" s="86">
        <v>47.254324419851827</v>
      </c>
      <c r="Q134" s="86">
        <v>83.235210759861715</v>
      </c>
      <c r="R134" s="86"/>
      <c r="S134" s="86"/>
      <c r="T134" s="86"/>
      <c r="U134" s="86">
        <v>33.638051839245676</v>
      </c>
      <c r="V134" s="86"/>
      <c r="W134" s="86"/>
      <c r="X134" s="86"/>
      <c r="Y134" s="86">
        <v>31.16622186976582</v>
      </c>
      <c r="Z134" s="86"/>
      <c r="AA134" s="86">
        <v>62.388982369783612</v>
      </c>
      <c r="AB134" s="86"/>
      <c r="AC134" s="86"/>
      <c r="AD134" s="86">
        <v>41.165801368500723</v>
      </c>
      <c r="AE134" s="86"/>
      <c r="AF134" s="86"/>
      <c r="AG134" s="86"/>
      <c r="AH134" s="114"/>
    </row>
    <row r="135" spans="1:34" s="87" customFormat="1" ht="60" hidden="1" outlineLevel="1" x14ac:dyDescent="0.2">
      <c r="A135" s="126" t="str">
        <f>[1]СВОД!A197</f>
        <v xml:space="preserve"> - массаж лучезапястного сустава ( проксимального отдела кисти, области лучезапястного сустава и предплечья ) - 1 ед.</v>
      </c>
      <c r="B135" s="89" t="str">
        <f>[1]СВОД!B197</f>
        <v>1 услуга</v>
      </c>
      <c r="C135" s="89"/>
      <c r="D135" s="125">
        <f t="shared" si="17"/>
        <v>0</v>
      </c>
      <c r="E135" s="125"/>
      <c r="F135" s="85">
        <v>57.663538077667916</v>
      </c>
      <c r="G135" s="86"/>
      <c r="H135" s="86">
        <v>40.464896346530566</v>
      </c>
      <c r="I135" s="86">
        <v>98.133801434897492</v>
      </c>
      <c r="J135" s="86"/>
      <c r="K135" s="86"/>
      <c r="L135" s="86"/>
      <c r="M135" s="86"/>
      <c r="N135" s="86"/>
      <c r="O135" s="86">
        <v>47.442903080377164</v>
      </c>
      <c r="P135" s="86">
        <v>47.254324419851827</v>
      </c>
      <c r="Q135" s="86">
        <v>83.235210759861715</v>
      </c>
      <c r="R135" s="86"/>
      <c r="S135" s="86"/>
      <c r="T135" s="86"/>
      <c r="U135" s="86">
        <v>33.638051839245676</v>
      </c>
      <c r="V135" s="86"/>
      <c r="W135" s="86"/>
      <c r="X135" s="86"/>
      <c r="Y135" s="86">
        <v>31.16622186976582</v>
      </c>
      <c r="Z135" s="86"/>
      <c r="AA135" s="86">
        <v>62.388982369783612</v>
      </c>
      <c r="AB135" s="86"/>
      <c r="AC135" s="86"/>
      <c r="AD135" s="86">
        <v>41.165801368500723</v>
      </c>
      <c r="AE135" s="86"/>
      <c r="AF135" s="86"/>
      <c r="AG135" s="86"/>
      <c r="AH135" s="114"/>
    </row>
    <row r="136" spans="1:34" s="87" customFormat="1" hidden="1" outlineLevel="1" x14ac:dyDescent="0.2">
      <c r="A136" s="126" t="str">
        <f>[1]СВОД!A198</f>
        <v xml:space="preserve"> - массаж кисти и предплечья - 1 ед.</v>
      </c>
      <c r="B136" s="89" t="str">
        <f>[1]СВОД!B198</f>
        <v>1 услуга</v>
      </c>
      <c r="C136" s="89"/>
      <c r="D136" s="125">
        <f t="shared" si="17"/>
        <v>0</v>
      </c>
      <c r="E136" s="125"/>
      <c r="F136" s="85">
        <v>57.663538077667916</v>
      </c>
      <c r="G136" s="86"/>
      <c r="H136" s="86">
        <v>40.464896346530566</v>
      </c>
      <c r="I136" s="86">
        <v>98.133801434897492</v>
      </c>
      <c r="J136" s="86"/>
      <c r="K136" s="86"/>
      <c r="L136" s="86"/>
      <c r="M136" s="86"/>
      <c r="N136" s="86"/>
      <c r="O136" s="86">
        <v>47.442903080377164</v>
      </c>
      <c r="P136" s="86">
        <v>47.254324419851827</v>
      </c>
      <c r="Q136" s="86"/>
      <c r="R136" s="86"/>
      <c r="S136" s="86"/>
      <c r="T136" s="86"/>
      <c r="U136" s="86">
        <v>33.638051839245676</v>
      </c>
      <c r="V136" s="86"/>
      <c r="W136" s="86"/>
      <c r="X136" s="86"/>
      <c r="Y136" s="86">
        <v>31.16622186976582</v>
      </c>
      <c r="Z136" s="86"/>
      <c r="AA136" s="86">
        <v>62.388982369783612</v>
      </c>
      <c r="AB136" s="86"/>
      <c r="AC136" s="86"/>
      <c r="AD136" s="86">
        <v>41.165801368500723</v>
      </c>
      <c r="AE136" s="86"/>
      <c r="AF136" s="86"/>
      <c r="AG136" s="86"/>
      <c r="AH136" s="114"/>
    </row>
    <row r="137" spans="1:34" s="87" customFormat="1" ht="62.25" hidden="1" customHeight="1" outlineLevel="1" x14ac:dyDescent="0.2">
      <c r="A137" s="126" t="str">
        <f>[1]СВОД!A199</f>
        <v xml:space="preserve"> - массаж области грудной клетки ( области передней поверхности грудной клетки от передних границ надплечья до рёберных дуг и области  спины от 7-го до 1-го поясничного позвонка ) - 2,5 ед.</v>
      </c>
      <c r="B137" s="89" t="str">
        <f>[1]СВОД!B199</f>
        <v>1 услуга</v>
      </c>
      <c r="C137" s="89"/>
      <c r="D137" s="125">
        <f t="shared" si="17"/>
        <v>0</v>
      </c>
      <c r="E137" s="125"/>
      <c r="F137" s="85">
        <v>144.1588451941698</v>
      </c>
      <c r="G137" s="86"/>
      <c r="H137" s="86">
        <v>101.16224086632643</v>
      </c>
      <c r="I137" s="86">
        <v>245.33450358724372</v>
      </c>
      <c r="J137" s="86"/>
      <c r="K137" s="86"/>
      <c r="L137" s="86"/>
      <c r="M137" s="86"/>
      <c r="N137" s="86"/>
      <c r="O137" s="86">
        <v>118.6072577009429</v>
      </c>
      <c r="P137" s="86">
        <v>118.13581104962957</v>
      </c>
      <c r="Q137" s="86">
        <v>208.08802689965432</v>
      </c>
      <c r="R137" s="86"/>
      <c r="S137" s="86"/>
      <c r="T137" s="86"/>
      <c r="U137" s="86">
        <v>84.095129598114198</v>
      </c>
      <c r="V137" s="86"/>
      <c r="W137" s="86"/>
      <c r="X137" s="86"/>
      <c r="Y137" s="86">
        <v>77.915554674414551</v>
      </c>
      <c r="Z137" s="86"/>
      <c r="AA137" s="86">
        <v>155.97245592445901</v>
      </c>
      <c r="AB137" s="86"/>
      <c r="AC137" s="86"/>
      <c r="AD137" s="86">
        <v>102.91450342125181</v>
      </c>
      <c r="AE137" s="86"/>
      <c r="AF137" s="86"/>
      <c r="AG137" s="86"/>
      <c r="AH137" s="114"/>
    </row>
    <row r="138" spans="1:34" s="87" customFormat="1" ht="75" hidden="1" outlineLevel="1" x14ac:dyDescent="0.2">
      <c r="A138" s="126" t="str">
        <f>[1]СВОД!A200</f>
        <v xml:space="preserve"> - массаж спины ( от 8-го шейного до 1-го поясничного позвонка и от левой до правой средней подмышечной линии, у детей - включая пояснично-крестцовую область ) - 1.5 ед.</v>
      </c>
      <c r="B138" s="89" t="str">
        <f>[1]СВОД!B200</f>
        <v>1 услуга</v>
      </c>
      <c r="C138" s="89"/>
      <c r="D138" s="125">
        <f t="shared" si="17"/>
        <v>0</v>
      </c>
      <c r="E138" s="125"/>
      <c r="F138" s="85">
        <v>86.495307116501863</v>
      </c>
      <c r="G138" s="86"/>
      <c r="H138" s="86">
        <v>60.697344519795855</v>
      </c>
      <c r="I138" s="86">
        <v>147.20070215234625</v>
      </c>
      <c r="J138" s="86"/>
      <c r="K138" s="86"/>
      <c r="L138" s="86"/>
      <c r="M138" s="86"/>
      <c r="N138" s="86"/>
      <c r="O138" s="86">
        <v>71.164354620565732</v>
      </c>
      <c r="P138" s="86">
        <v>70.88148662977774</v>
      </c>
      <c r="Q138" s="86">
        <v>124.85281613979259</v>
      </c>
      <c r="R138" s="86"/>
      <c r="S138" s="86"/>
      <c r="T138" s="86"/>
      <c r="U138" s="86">
        <v>50.457077758868508</v>
      </c>
      <c r="V138" s="86"/>
      <c r="W138" s="86"/>
      <c r="X138" s="86"/>
      <c r="Y138" s="86">
        <v>46.749332804648738</v>
      </c>
      <c r="Z138" s="86"/>
      <c r="AA138" s="86">
        <v>93.583473554675408</v>
      </c>
      <c r="AB138" s="86"/>
      <c r="AC138" s="86"/>
      <c r="AD138" s="86">
        <v>61.748702052751085</v>
      </c>
      <c r="AE138" s="86"/>
      <c r="AF138" s="86"/>
      <c r="AG138" s="86"/>
      <c r="AH138" s="114"/>
    </row>
    <row r="139" spans="1:34" s="87" customFormat="1" ht="30" hidden="1" outlineLevel="1" x14ac:dyDescent="0.2">
      <c r="A139" s="126" t="str">
        <f>[1]СВОД!A201</f>
        <v xml:space="preserve"> - массаж мышц передней брюшной стенки - 1 ед.</v>
      </c>
      <c r="B139" s="89" t="str">
        <f>[1]СВОД!B201</f>
        <v>1 услуга</v>
      </c>
      <c r="C139" s="89"/>
      <c r="D139" s="125">
        <f t="shared" si="17"/>
        <v>0</v>
      </c>
      <c r="E139" s="125"/>
      <c r="F139" s="85">
        <v>57.663538077667916</v>
      </c>
      <c r="G139" s="86"/>
      <c r="H139" s="86">
        <v>40.464896346530566</v>
      </c>
      <c r="I139" s="86">
        <v>98.133801434897492</v>
      </c>
      <c r="J139" s="86"/>
      <c r="K139" s="86"/>
      <c r="L139" s="86"/>
      <c r="M139" s="86"/>
      <c r="N139" s="86"/>
      <c r="O139" s="86">
        <v>47.442903080377164</v>
      </c>
      <c r="P139" s="86">
        <v>47.254324419851827</v>
      </c>
      <c r="Q139" s="86">
        <v>83.235210759861715</v>
      </c>
      <c r="R139" s="86"/>
      <c r="S139" s="86"/>
      <c r="T139" s="86"/>
      <c r="U139" s="86">
        <v>33.638051839245676</v>
      </c>
      <c r="V139" s="86"/>
      <c r="W139" s="86"/>
      <c r="X139" s="86"/>
      <c r="Y139" s="86">
        <v>31.16622186976582</v>
      </c>
      <c r="Z139" s="86"/>
      <c r="AA139" s="86">
        <v>62.388982369783612</v>
      </c>
      <c r="AB139" s="86"/>
      <c r="AC139" s="86"/>
      <c r="AD139" s="86">
        <v>41.165801368500723</v>
      </c>
      <c r="AE139" s="86"/>
      <c r="AF139" s="86"/>
      <c r="AG139" s="86"/>
      <c r="AH139" s="114"/>
    </row>
    <row r="140" spans="1:34" s="87" customFormat="1" ht="45" hidden="1" outlineLevel="1" x14ac:dyDescent="0.2">
      <c r="A140" s="126" t="str">
        <f>[1]СВОД!A202</f>
        <v xml:space="preserve"> - массаж пояснично-крестцовой области ( от 1-го поясничного позвонка до нижних ягодичных складок) - 1 ед.</v>
      </c>
      <c r="B140" s="89" t="str">
        <f>[1]СВОД!B202</f>
        <v>1 услуга</v>
      </c>
      <c r="C140" s="89"/>
      <c r="D140" s="125">
        <f t="shared" si="17"/>
        <v>0</v>
      </c>
      <c r="E140" s="125"/>
      <c r="F140" s="85">
        <v>57.663538077667916</v>
      </c>
      <c r="G140" s="86"/>
      <c r="H140" s="86">
        <v>40.464896346530566</v>
      </c>
      <c r="I140" s="86">
        <v>98.133801434897492</v>
      </c>
      <c r="J140" s="86"/>
      <c r="K140" s="86"/>
      <c r="L140" s="86"/>
      <c r="M140" s="86"/>
      <c r="N140" s="86"/>
      <c r="O140" s="86">
        <v>47.442903080377164</v>
      </c>
      <c r="P140" s="86">
        <v>47.254324419851827</v>
      </c>
      <c r="Q140" s="86">
        <v>83.235210759861715</v>
      </c>
      <c r="R140" s="86"/>
      <c r="S140" s="86"/>
      <c r="T140" s="86"/>
      <c r="U140" s="86">
        <v>33.638051839245676</v>
      </c>
      <c r="V140" s="86"/>
      <c r="W140" s="86"/>
      <c r="X140" s="86"/>
      <c r="Y140" s="86">
        <v>31.16622186976582</v>
      </c>
      <c r="Z140" s="86"/>
      <c r="AA140" s="86">
        <v>62.388982369783612</v>
      </c>
      <c r="AB140" s="86"/>
      <c r="AC140" s="86"/>
      <c r="AD140" s="86">
        <v>41.165801368500723</v>
      </c>
      <c r="AE140" s="86"/>
      <c r="AF140" s="86"/>
      <c r="AG140" s="86"/>
      <c r="AH140" s="114"/>
    </row>
    <row r="141" spans="1:34" s="87" customFormat="1" ht="45.75" hidden="1" customHeight="1" outlineLevel="1" x14ac:dyDescent="0.2">
      <c r="A141" s="126" t="str">
        <f>[1]СВОД!A203</f>
        <v xml:space="preserve"> - массаж области позвоночника (задней поверхности шеи, спины и пояснично-крестцовой области от левой до правой задней подмышечной линии ) - 2,5 ед.</v>
      </c>
      <c r="B141" s="89" t="str">
        <f>[1]СВОД!B203</f>
        <v>1 услуга</v>
      </c>
      <c r="C141" s="89"/>
      <c r="D141" s="125">
        <f t="shared" si="17"/>
        <v>0</v>
      </c>
      <c r="E141" s="125"/>
      <c r="F141" s="85">
        <v>144.1588451941698</v>
      </c>
      <c r="G141" s="86"/>
      <c r="H141" s="86">
        <v>101.16224086632643</v>
      </c>
      <c r="I141" s="86">
        <v>245.33450358724372</v>
      </c>
      <c r="J141" s="86"/>
      <c r="K141" s="86"/>
      <c r="L141" s="86"/>
      <c r="M141" s="86"/>
      <c r="N141" s="86"/>
      <c r="O141" s="86">
        <v>118.6072577009429</v>
      </c>
      <c r="P141" s="86">
        <v>118.13581104962957</v>
      </c>
      <c r="Q141" s="86">
        <v>208.08802689965432</v>
      </c>
      <c r="R141" s="86"/>
      <c r="S141" s="86"/>
      <c r="T141" s="86"/>
      <c r="U141" s="86">
        <v>84.095129598114198</v>
      </c>
      <c r="V141" s="86"/>
      <c r="W141" s="86"/>
      <c r="X141" s="86"/>
      <c r="Y141" s="86">
        <v>77.915554674414551</v>
      </c>
      <c r="Z141" s="86"/>
      <c r="AA141" s="86">
        <v>155.97245592445901</v>
      </c>
      <c r="AB141" s="86"/>
      <c r="AC141" s="86"/>
      <c r="AD141" s="86">
        <v>102.91450342125181</v>
      </c>
      <c r="AE141" s="86"/>
      <c r="AF141" s="86"/>
      <c r="AG141" s="86"/>
      <c r="AH141" s="114"/>
    </row>
    <row r="142" spans="1:34" s="87" customFormat="1" hidden="1" outlineLevel="1" x14ac:dyDescent="0.2">
      <c r="A142" s="126" t="str">
        <f>[1]СВОД!A204</f>
        <v xml:space="preserve"> - массаж нижней конечности - 1,5 ед.</v>
      </c>
      <c r="B142" s="89" t="str">
        <f>[1]СВОД!B204</f>
        <v>1 услуга</v>
      </c>
      <c r="C142" s="89"/>
      <c r="D142" s="125">
        <f t="shared" si="17"/>
        <v>0</v>
      </c>
      <c r="E142" s="125"/>
      <c r="F142" s="85">
        <v>86.495307116501863</v>
      </c>
      <c r="G142" s="86"/>
      <c r="H142" s="86">
        <v>60.697344519795855</v>
      </c>
      <c r="I142" s="86">
        <v>147.20070215234625</v>
      </c>
      <c r="J142" s="86"/>
      <c r="K142" s="86"/>
      <c r="L142" s="86"/>
      <c r="M142" s="86"/>
      <c r="N142" s="86"/>
      <c r="O142" s="86">
        <v>71.164354620565732</v>
      </c>
      <c r="P142" s="86">
        <v>70.88148662977774</v>
      </c>
      <c r="Q142" s="86">
        <v>124.85281613979259</v>
      </c>
      <c r="R142" s="86"/>
      <c r="S142" s="86"/>
      <c r="T142" s="86"/>
      <c r="U142" s="86">
        <v>50.457077758868508</v>
      </c>
      <c r="V142" s="86"/>
      <c r="W142" s="86"/>
      <c r="X142" s="86"/>
      <c r="Y142" s="86">
        <v>46.749332804648738</v>
      </c>
      <c r="Z142" s="86"/>
      <c r="AA142" s="86">
        <v>93.583473554675408</v>
      </c>
      <c r="AB142" s="86"/>
      <c r="AC142" s="86"/>
      <c r="AD142" s="86">
        <v>61.748702052751085</v>
      </c>
      <c r="AE142" s="86"/>
      <c r="AF142" s="86"/>
      <c r="AG142" s="86"/>
      <c r="AH142" s="114"/>
    </row>
    <row r="143" spans="1:34" s="87" customFormat="1" ht="45" hidden="1" outlineLevel="1" x14ac:dyDescent="0.2">
      <c r="A143" s="126" t="str">
        <f>[1]СВОД!A205</f>
        <v xml:space="preserve"> - массаж нижней конечности и поясницы ( области стопы, голени, бедра, ягодичной и пояснично-крестцовой области ) - 2 ед.</v>
      </c>
      <c r="B143" s="89" t="str">
        <f>[1]СВОД!B205</f>
        <v>1 услуга</v>
      </c>
      <c r="C143" s="89"/>
      <c r="D143" s="125">
        <f t="shared" si="17"/>
        <v>0</v>
      </c>
      <c r="E143" s="125"/>
      <c r="F143" s="85">
        <v>115.32707615533583</v>
      </c>
      <c r="G143" s="86"/>
      <c r="H143" s="86">
        <v>80.929792693061131</v>
      </c>
      <c r="I143" s="86">
        <v>196.26760286979498</v>
      </c>
      <c r="J143" s="86"/>
      <c r="K143" s="86"/>
      <c r="L143" s="86"/>
      <c r="M143" s="86"/>
      <c r="N143" s="86"/>
      <c r="O143" s="86">
        <v>94.885806160754328</v>
      </c>
      <c r="P143" s="86">
        <v>94.508648839703653</v>
      </c>
      <c r="Q143" s="86">
        <v>166.47042151972343</v>
      </c>
      <c r="R143" s="86"/>
      <c r="S143" s="86"/>
      <c r="T143" s="86"/>
      <c r="U143" s="86">
        <v>67.276103678491353</v>
      </c>
      <c r="V143" s="86"/>
      <c r="W143" s="86"/>
      <c r="X143" s="86"/>
      <c r="Y143" s="86">
        <v>62.332443739531641</v>
      </c>
      <c r="Z143" s="86"/>
      <c r="AA143" s="86">
        <v>124.77796473956722</v>
      </c>
      <c r="AB143" s="86"/>
      <c r="AC143" s="86"/>
      <c r="AD143" s="86">
        <v>82.331602737001447</v>
      </c>
      <c r="AE143" s="86"/>
      <c r="AF143" s="86"/>
      <c r="AG143" s="86"/>
      <c r="AH143" s="114"/>
    </row>
    <row r="144" spans="1:34" s="87" customFormat="1" ht="30" hidden="1" outlineLevel="1" x14ac:dyDescent="0.2">
      <c r="A144" s="126" t="str">
        <f>[1]СВОД!A206</f>
        <v xml:space="preserve"> - массаж тазобедренного сустава и ягодичной   - 1 ед.</v>
      </c>
      <c r="B144" s="89" t="str">
        <f>[1]СВОД!B206</f>
        <v>1 услуга</v>
      </c>
      <c r="C144" s="89"/>
      <c r="D144" s="125">
        <f t="shared" si="17"/>
        <v>0</v>
      </c>
      <c r="E144" s="125"/>
      <c r="F144" s="85">
        <v>57.663538077667916</v>
      </c>
      <c r="G144" s="86"/>
      <c r="H144" s="86">
        <v>40.464896346530566</v>
      </c>
      <c r="I144" s="86">
        <v>98.133801434897492</v>
      </c>
      <c r="J144" s="86"/>
      <c r="K144" s="86"/>
      <c r="L144" s="86"/>
      <c r="M144" s="86"/>
      <c r="N144" s="86"/>
      <c r="O144" s="86">
        <v>47.442903080377164</v>
      </c>
      <c r="P144" s="86">
        <v>47.254324419851827</v>
      </c>
      <c r="Q144" s="86">
        <v>83.235210759861715</v>
      </c>
      <c r="R144" s="86"/>
      <c r="S144" s="86"/>
      <c r="T144" s="86"/>
      <c r="U144" s="86">
        <v>33.638051839245676</v>
      </c>
      <c r="V144" s="86"/>
      <c r="W144" s="86"/>
      <c r="X144" s="86"/>
      <c r="Y144" s="86">
        <v>31.16622186976582</v>
      </c>
      <c r="Z144" s="86"/>
      <c r="AA144" s="86">
        <v>62.388982369783612</v>
      </c>
      <c r="AB144" s="86"/>
      <c r="AC144" s="86"/>
      <c r="AD144" s="86">
        <v>41.165801368500723</v>
      </c>
      <c r="AE144" s="86"/>
      <c r="AF144" s="86"/>
      <c r="AG144" s="86"/>
      <c r="AH144" s="114"/>
    </row>
    <row r="145" spans="1:34" s="87" customFormat="1" ht="45" hidden="1" outlineLevel="1" x14ac:dyDescent="0.2">
      <c r="A145" s="126" t="str">
        <f>[1]СВОД!A207</f>
        <v xml:space="preserve"> - массаж коленного сустава ( верхней трети голени, области коленного сустава и нижней трети бедра ) - 1 ед.</v>
      </c>
      <c r="B145" s="89" t="str">
        <f>[1]СВОД!B207</f>
        <v>1 услуга</v>
      </c>
      <c r="C145" s="89"/>
      <c r="D145" s="125">
        <f t="shared" si="17"/>
        <v>0</v>
      </c>
      <c r="E145" s="125"/>
      <c r="F145" s="85">
        <v>57.663538077667916</v>
      </c>
      <c r="G145" s="86"/>
      <c r="H145" s="86">
        <v>40.464896346530566</v>
      </c>
      <c r="I145" s="86">
        <v>98.133801434897492</v>
      </c>
      <c r="J145" s="86"/>
      <c r="K145" s="86"/>
      <c r="L145" s="86"/>
      <c r="M145" s="86"/>
      <c r="N145" s="86"/>
      <c r="O145" s="86">
        <v>47.442903080377164</v>
      </c>
      <c r="P145" s="86">
        <v>47.254324419851827</v>
      </c>
      <c r="Q145" s="86">
        <v>83.235210759861715</v>
      </c>
      <c r="R145" s="86"/>
      <c r="S145" s="86"/>
      <c r="T145" s="86"/>
      <c r="U145" s="86">
        <v>33.638051839245676</v>
      </c>
      <c r="V145" s="86"/>
      <c r="W145" s="86"/>
      <c r="X145" s="86"/>
      <c r="Y145" s="86">
        <v>31.16622186976582</v>
      </c>
      <c r="Z145" s="86"/>
      <c r="AA145" s="86">
        <v>62.388982369783612</v>
      </c>
      <c r="AB145" s="86"/>
      <c r="AC145" s="86"/>
      <c r="AD145" s="86">
        <v>41.165801368500723</v>
      </c>
      <c r="AE145" s="86"/>
      <c r="AF145" s="86"/>
      <c r="AG145" s="86"/>
      <c r="AH145" s="114"/>
    </row>
    <row r="146" spans="1:34" s="87" customFormat="1" ht="60" hidden="1" outlineLevel="1" x14ac:dyDescent="0.2">
      <c r="A146" s="126" t="str">
        <f>[1]СВОД!A208</f>
        <v xml:space="preserve"> - массаж голеностопного сустава ( проксимального отдела стопы, области голеностопного сустава и нижней трети голени ) - 1 ед.</v>
      </c>
      <c r="B146" s="89" t="str">
        <f>[1]СВОД!B208</f>
        <v>1 услуга</v>
      </c>
      <c r="C146" s="89"/>
      <c r="D146" s="125">
        <f t="shared" si="17"/>
        <v>0</v>
      </c>
      <c r="E146" s="125"/>
      <c r="F146" s="85">
        <v>57.663538077667916</v>
      </c>
      <c r="G146" s="86"/>
      <c r="H146" s="86">
        <v>40.464896346530566</v>
      </c>
      <c r="I146" s="86">
        <v>98.133801434897492</v>
      </c>
      <c r="J146" s="86"/>
      <c r="K146" s="86"/>
      <c r="L146" s="86"/>
      <c r="M146" s="86"/>
      <c r="N146" s="86"/>
      <c r="O146" s="86">
        <v>47.442903080377164</v>
      </c>
      <c r="P146" s="86">
        <v>47.254324419851827</v>
      </c>
      <c r="Q146" s="86">
        <v>83.235210759861715</v>
      </c>
      <c r="R146" s="86"/>
      <c r="S146" s="86"/>
      <c r="T146" s="86"/>
      <c r="U146" s="86">
        <v>33.638051839245676</v>
      </c>
      <c r="V146" s="86"/>
      <c r="W146" s="86"/>
      <c r="X146" s="86"/>
      <c r="Y146" s="86">
        <v>31.16622186976582</v>
      </c>
      <c r="Z146" s="86"/>
      <c r="AA146" s="86">
        <v>62.388982369783612</v>
      </c>
      <c r="AB146" s="86"/>
      <c r="AC146" s="86"/>
      <c r="AD146" s="86">
        <v>41.165801368500723</v>
      </c>
      <c r="AE146" s="86"/>
      <c r="AF146" s="86"/>
      <c r="AG146" s="86"/>
      <c r="AH146" s="114"/>
    </row>
    <row r="147" spans="1:34" s="87" customFormat="1" hidden="1" outlineLevel="1" x14ac:dyDescent="0.2">
      <c r="A147" s="126" t="str">
        <f>[1]СВОД!A209</f>
        <v xml:space="preserve"> - массаж стопы и голени - 1 ед.</v>
      </c>
      <c r="B147" s="89" t="str">
        <f>[1]СВОД!B209</f>
        <v>1 услуга</v>
      </c>
      <c r="C147" s="89"/>
      <c r="D147" s="125">
        <f t="shared" si="17"/>
        <v>0</v>
      </c>
      <c r="E147" s="125"/>
      <c r="F147" s="85">
        <v>57.663538077667916</v>
      </c>
      <c r="G147" s="86"/>
      <c r="H147" s="86">
        <v>40.464896346530566</v>
      </c>
      <c r="I147" s="86">
        <v>98.133801434897492</v>
      </c>
      <c r="J147" s="86"/>
      <c r="K147" s="86"/>
      <c r="L147" s="86"/>
      <c r="M147" s="86"/>
      <c r="N147" s="86"/>
      <c r="O147" s="86">
        <v>47.442903080377164</v>
      </c>
      <c r="P147" s="86">
        <v>47.254324419851827</v>
      </c>
      <c r="Q147" s="86">
        <v>83.235210759861715</v>
      </c>
      <c r="R147" s="86"/>
      <c r="S147" s="86"/>
      <c r="T147" s="86"/>
      <c r="U147" s="86">
        <v>33.638051839245676</v>
      </c>
      <c r="V147" s="86"/>
      <c r="W147" s="86"/>
      <c r="X147" s="86"/>
      <c r="Y147" s="86">
        <v>31.16622186976582</v>
      </c>
      <c r="Z147" s="86"/>
      <c r="AA147" s="86">
        <v>62.388982369783612</v>
      </c>
      <c r="AB147" s="86"/>
      <c r="AC147" s="86"/>
      <c r="AD147" s="86">
        <v>41.165801368500723</v>
      </c>
      <c r="AE147" s="86"/>
      <c r="AF147" s="86"/>
      <c r="AG147" s="86"/>
      <c r="AH147" s="114"/>
    </row>
    <row r="148" spans="1:34" s="87" customFormat="1" ht="45" hidden="1" outlineLevel="1" x14ac:dyDescent="0.2">
      <c r="A148" s="126" t="str">
        <f>[1]СВОД!A210</f>
        <v>Проведение процедур адаптивной (лечебной)  гимнастики инструктором - методистом по адаптивной  физкультуре:</v>
      </c>
      <c r="B148" s="89" t="str">
        <f>[1]СВОД!B210</f>
        <v>1 услуга</v>
      </c>
      <c r="C148" s="89"/>
      <c r="D148" s="125">
        <f t="shared" si="17"/>
        <v>0</v>
      </c>
      <c r="E148" s="125"/>
      <c r="F148" s="85"/>
      <c r="G148" s="86"/>
      <c r="H148" s="86"/>
      <c r="I148" s="86"/>
      <c r="J148" s="86"/>
      <c r="K148" s="86"/>
      <c r="L148" s="86"/>
      <c r="M148" s="86"/>
      <c r="N148" s="86"/>
      <c r="O148" s="86"/>
      <c r="P148" s="86"/>
      <c r="Q148" s="86"/>
      <c r="R148" s="86"/>
      <c r="S148" s="86"/>
      <c r="T148" s="86"/>
      <c r="U148" s="86"/>
      <c r="V148" s="86"/>
      <c r="W148" s="86"/>
      <c r="X148" s="86"/>
      <c r="Y148" s="86"/>
      <c r="Z148" s="86"/>
      <c r="AA148" s="86"/>
      <c r="AB148" s="86"/>
      <c r="AC148" s="86"/>
      <c r="AD148" s="86"/>
      <c r="AE148" s="86"/>
      <c r="AF148" s="86"/>
      <c r="AG148" s="86"/>
      <c r="AH148" s="114"/>
    </row>
    <row r="149" spans="1:34" s="87" customFormat="1" ht="30" hidden="1" outlineLevel="1" x14ac:dyDescent="0.2">
      <c r="A149" s="126" t="str">
        <f>[1]СВОД!A211</f>
        <v xml:space="preserve"> - для инвалидов с заболеваниями внутренних органов</v>
      </c>
      <c r="B149" s="89" t="str">
        <f>[1]СВОД!B211</f>
        <v>1 услуга</v>
      </c>
      <c r="C149" s="89"/>
      <c r="D149" s="125">
        <f t="shared" si="17"/>
        <v>0</v>
      </c>
      <c r="E149" s="125"/>
      <c r="F149" s="85">
        <v>112.80248707660483</v>
      </c>
      <c r="G149" s="86"/>
      <c r="H149" s="86">
        <v>104.88203944061644</v>
      </c>
      <c r="I149" s="86">
        <v>298.80494403703028</v>
      </c>
      <c r="J149" s="86"/>
      <c r="K149" s="86">
        <v>135.28896847420026</v>
      </c>
      <c r="L149" s="86"/>
      <c r="M149" s="86"/>
      <c r="N149" s="86"/>
      <c r="O149" s="86">
        <v>118.6072577009429</v>
      </c>
      <c r="P149" s="86">
        <v>118.13581104962957</v>
      </c>
      <c r="Q149" s="86">
        <v>208.08802689965432</v>
      </c>
      <c r="R149" s="86"/>
      <c r="S149" s="86"/>
      <c r="T149" s="86">
        <v>107.75756540172459</v>
      </c>
      <c r="U149" s="86">
        <v>84.095129598114198</v>
      </c>
      <c r="V149" s="86"/>
      <c r="W149" s="86"/>
      <c r="X149" s="86"/>
      <c r="Y149" s="86">
        <v>77.915554674414551</v>
      </c>
      <c r="Z149" s="86"/>
      <c r="AA149" s="86">
        <v>155.97245592445901</v>
      </c>
      <c r="AB149" s="86"/>
      <c r="AC149" s="86">
        <v>131.4335452038107</v>
      </c>
      <c r="AD149" s="86">
        <v>102.91450342125181</v>
      </c>
      <c r="AE149" s="86">
        <v>83.251839189746022</v>
      </c>
      <c r="AF149" s="86"/>
      <c r="AG149" s="86"/>
      <c r="AH149" s="114"/>
    </row>
    <row r="150" spans="1:34" s="87" customFormat="1" ht="30" hidden="1" outlineLevel="1" x14ac:dyDescent="0.2">
      <c r="A150" s="126" t="str">
        <f>[1]СВОД!A212</f>
        <v xml:space="preserve"> - при травмах позвоночника и таза после иммобилизации (индивидуальные занятия)</v>
      </c>
      <c r="B150" s="89" t="str">
        <f>[1]СВОД!B212</f>
        <v>1 услуга</v>
      </c>
      <c r="C150" s="89"/>
      <c r="D150" s="125">
        <f t="shared" si="17"/>
        <v>0</v>
      </c>
      <c r="E150" s="125"/>
      <c r="F150" s="85">
        <v>135.36298449192577</v>
      </c>
      <c r="G150" s="86"/>
      <c r="H150" s="86">
        <v>125.85844732873973</v>
      </c>
      <c r="I150" s="86">
        <v>358.56593284443636</v>
      </c>
      <c r="J150" s="86"/>
      <c r="K150" s="86">
        <v>162.34676216904029</v>
      </c>
      <c r="L150" s="86"/>
      <c r="M150" s="86"/>
      <c r="N150" s="86"/>
      <c r="O150" s="86">
        <v>142.32870924113146</v>
      </c>
      <c r="P150" s="86">
        <v>141.76297325955548</v>
      </c>
      <c r="Q150" s="86">
        <v>249.70563227958519</v>
      </c>
      <c r="R150" s="86"/>
      <c r="S150" s="86"/>
      <c r="T150" s="86">
        <v>129.30907848206954</v>
      </c>
      <c r="U150" s="86">
        <v>100.91415551773702</v>
      </c>
      <c r="V150" s="86"/>
      <c r="W150" s="86"/>
      <c r="X150" s="86"/>
      <c r="Y150" s="86">
        <v>93.498665609297475</v>
      </c>
      <c r="Z150" s="86"/>
      <c r="AA150" s="86">
        <v>187.16694710935082</v>
      </c>
      <c r="AB150" s="86"/>
      <c r="AC150" s="86">
        <v>157.72025424457283</v>
      </c>
      <c r="AD150" s="86">
        <v>123.49740410550217</v>
      </c>
      <c r="AE150" s="86">
        <v>99.902207027695212</v>
      </c>
      <c r="AF150" s="86"/>
      <c r="AG150" s="86"/>
      <c r="AH150" s="114"/>
    </row>
    <row r="151" spans="1:34" s="87" customFormat="1" ht="30" hidden="1" outlineLevel="1" x14ac:dyDescent="0.2">
      <c r="A151" s="126" t="str">
        <f>[1]СВОД!A213</f>
        <v xml:space="preserve"> - при травмах позвоночника с поражением спинного мозга</v>
      </c>
      <c r="B151" s="89" t="str">
        <f>[1]СВОД!B213</f>
        <v>1 услуга</v>
      </c>
      <c r="C151" s="89"/>
      <c r="D151" s="125">
        <f t="shared" si="17"/>
        <v>0</v>
      </c>
      <c r="E151" s="125"/>
      <c r="F151" s="85">
        <v>157.92348190724675</v>
      </c>
      <c r="G151" s="86"/>
      <c r="H151" s="86">
        <v>146.83485521686299</v>
      </c>
      <c r="I151" s="86">
        <v>418.32692165184233</v>
      </c>
      <c r="J151" s="86"/>
      <c r="K151" s="86">
        <v>189.40455586388032</v>
      </c>
      <c r="L151" s="86"/>
      <c r="M151" s="86"/>
      <c r="N151" s="86"/>
      <c r="O151" s="86">
        <v>166.05016078132007</v>
      </c>
      <c r="P151" s="86">
        <v>165.39013546948138</v>
      </c>
      <c r="Q151" s="86">
        <v>291.32323765951605</v>
      </c>
      <c r="R151" s="86"/>
      <c r="S151" s="86"/>
      <c r="T151" s="86">
        <v>150.86059156241444</v>
      </c>
      <c r="U151" s="86">
        <v>117.73318143735986</v>
      </c>
      <c r="V151" s="86"/>
      <c r="W151" s="86"/>
      <c r="X151" s="86"/>
      <c r="Y151" s="86">
        <v>109.08177654418037</v>
      </c>
      <c r="Z151" s="86"/>
      <c r="AA151" s="86">
        <v>218.36143829424262</v>
      </c>
      <c r="AB151" s="86"/>
      <c r="AC151" s="86">
        <v>184.00696328533496</v>
      </c>
      <c r="AD151" s="86">
        <v>144.08030478975252</v>
      </c>
      <c r="AE151" s="86">
        <v>116.5525748656444</v>
      </c>
      <c r="AF151" s="86"/>
      <c r="AG151" s="86"/>
      <c r="AH151" s="114"/>
    </row>
    <row r="152" spans="1:34" s="87" customFormat="1" ht="30" hidden="1" outlineLevel="1" x14ac:dyDescent="0.2">
      <c r="A152" s="126" t="str">
        <f>[1]СВОД!A214</f>
        <v xml:space="preserve"> - для неврологических больных ( индивидуальные занятия )</v>
      </c>
      <c r="B152" s="89" t="str">
        <f>[1]СВОД!B214</f>
        <v>1 услуга</v>
      </c>
      <c r="C152" s="89"/>
      <c r="D152" s="125">
        <f t="shared" si="17"/>
        <v>0</v>
      </c>
      <c r="E152" s="125"/>
      <c r="F152" s="85">
        <v>135.36298449192577</v>
      </c>
      <c r="G152" s="86"/>
      <c r="H152" s="86">
        <v>125.85844732873973</v>
      </c>
      <c r="I152" s="86">
        <v>358.56593284443636</v>
      </c>
      <c r="J152" s="86"/>
      <c r="K152" s="86">
        <v>162.34676216904029</v>
      </c>
      <c r="L152" s="86"/>
      <c r="M152" s="86"/>
      <c r="N152" s="86"/>
      <c r="O152" s="86">
        <v>142.32870924113146</v>
      </c>
      <c r="P152" s="86">
        <v>141.76297325955548</v>
      </c>
      <c r="Q152" s="86">
        <v>249.70563227958519</v>
      </c>
      <c r="R152" s="86"/>
      <c r="S152" s="86"/>
      <c r="T152" s="86">
        <v>129.30907848206954</v>
      </c>
      <c r="U152" s="86">
        <v>100.91415551773702</v>
      </c>
      <c r="V152" s="86"/>
      <c r="W152" s="86"/>
      <c r="X152" s="86"/>
      <c r="Y152" s="86">
        <v>93.498665609297475</v>
      </c>
      <c r="Z152" s="86"/>
      <c r="AA152" s="86">
        <v>187.16694710935082</v>
      </c>
      <c r="AB152" s="86"/>
      <c r="AC152" s="86">
        <v>157.72025424457283</v>
      </c>
      <c r="AD152" s="86">
        <v>123.49740410550217</v>
      </c>
      <c r="AE152" s="86">
        <v>99.902207027695212</v>
      </c>
      <c r="AF152" s="86"/>
      <c r="AG152" s="86"/>
      <c r="AH152" s="114"/>
    </row>
    <row r="153" spans="1:34" s="87" customFormat="1" ht="30" hidden="1" outlineLevel="1" x14ac:dyDescent="0.2">
      <c r="A153" s="126" t="str">
        <f>[1]СВОД!A215</f>
        <v xml:space="preserve"> - обучающее занятие адаптивной физической культуре    </v>
      </c>
      <c r="B153" s="89" t="str">
        <f>[1]СВОД!B215</f>
        <v>1 услуга</v>
      </c>
      <c r="C153" s="89"/>
      <c r="D153" s="125">
        <f t="shared" si="17"/>
        <v>0</v>
      </c>
      <c r="E153" s="125"/>
      <c r="F153" s="85">
        <v>135.36298449192577</v>
      </c>
      <c r="G153" s="86"/>
      <c r="H153" s="86">
        <v>125.85844732873973</v>
      </c>
      <c r="I153" s="86">
        <v>358.56593284443636</v>
      </c>
      <c r="J153" s="86"/>
      <c r="K153" s="86">
        <v>162.34676216904029</v>
      </c>
      <c r="L153" s="86"/>
      <c r="M153" s="86"/>
      <c r="N153" s="86"/>
      <c r="O153" s="86">
        <v>142.32870924113146</v>
      </c>
      <c r="P153" s="86">
        <v>141.76297325955548</v>
      </c>
      <c r="Q153" s="86">
        <v>249.70563227958519</v>
      </c>
      <c r="R153" s="86"/>
      <c r="S153" s="86"/>
      <c r="T153" s="86">
        <v>129.30907848206954</v>
      </c>
      <c r="U153" s="86">
        <v>100.91415551773702</v>
      </c>
      <c r="V153" s="86">
        <v>139.09594239334925</v>
      </c>
      <c r="W153" s="86"/>
      <c r="X153" s="86">
        <v>152.97169873991817</v>
      </c>
      <c r="Y153" s="86">
        <v>93.498665609297475</v>
      </c>
      <c r="Z153" s="86"/>
      <c r="AA153" s="86">
        <v>187.16694710935082</v>
      </c>
      <c r="AB153" s="86"/>
      <c r="AC153" s="86">
        <v>157.72025424457283</v>
      </c>
      <c r="AD153" s="86">
        <v>123.49740410550217</v>
      </c>
      <c r="AE153" s="86">
        <v>99.902207027695212</v>
      </c>
      <c r="AF153" s="86"/>
      <c r="AG153" s="86"/>
      <c r="AH153" s="114"/>
    </row>
    <row r="154" spans="1:34" s="87" customFormat="1" ht="30" hidden="1" outlineLevel="1" x14ac:dyDescent="0.2">
      <c r="A154" s="126" t="str">
        <f>[1]СВОД!A216</f>
        <v xml:space="preserve"> -занятия в группе настольного тенниса ( групповые - 2 чел. ) </v>
      </c>
      <c r="B154" s="89" t="str">
        <f>[1]СВОД!B216</f>
        <v>1 услуга</v>
      </c>
      <c r="C154" s="89"/>
      <c r="D154" s="125">
        <f t="shared" si="17"/>
        <v>0</v>
      </c>
      <c r="E154" s="125"/>
      <c r="F154" s="85">
        <f>67.6814922459629/2</f>
        <v>33.84074612298145</v>
      </c>
      <c r="G154" s="86"/>
      <c r="H154" s="86">
        <v>62.929223664369864</v>
      </c>
      <c r="I154" s="86">
        <v>89.641460769624572</v>
      </c>
      <c r="J154" s="86"/>
      <c r="K154" s="86">
        <v>40.586690542260072</v>
      </c>
      <c r="L154" s="86"/>
      <c r="M154" s="86"/>
      <c r="N154" s="86"/>
      <c r="O154" s="86">
        <v>35.582177310282866</v>
      </c>
      <c r="P154" s="86">
        <v>35.44074331488887</v>
      </c>
      <c r="Q154" s="86">
        <v>62.426408069896297</v>
      </c>
      <c r="R154" s="86"/>
      <c r="S154" s="86"/>
      <c r="T154" s="86">
        <v>32.327269620517384</v>
      </c>
      <c r="U154" s="86">
        <v>25.228538879434254</v>
      </c>
      <c r="V154" s="86">
        <f>69.5479711966746/2</f>
        <v>34.773985598337298</v>
      </c>
      <c r="W154" s="86"/>
      <c r="X154" s="86">
        <v>38.242924684979542</v>
      </c>
      <c r="Y154" s="86">
        <v>23.374666402324369</v>
      </c>
      <c r="Z154" s="86"/>
      <c r="AA154" s="86">
        <v>46.791736777337704</v>
      </c>
      <c r="AB154" s="86"/>
      <c r="AC154" s="86">
        <v>39.430063561143207</v>
      </c>
      <c r="AD154" s="86">
        <v>30.874351026375543</v>
      </c>
      <c r="AE154" s="86">
        <v>49.951103513847606</v>
      </c>
      <c r="AF154" s="86"/>
      <c r="AG154" s="86"/>
      <c r="AH154" s="114"/>
    </row>
    <row r="155" spans="1:34" s="87" customFormat="1" hidden="1" outlineLevel="1" x14ac:dyDescent="0.2">
      <c r="A155" s="126" t="str">
        <f>[1]СВОД!A217</f>
        <v xml:space="preserve"> - приём врача - физиотерапевта      </v>
      </c>
      <c r="B155" s="89" t="str">
        <f>[1]СВОД!B217</f>
        <v>1 услуга</v>
      </c>
      <c r="C155" s="89"/>
      <c r="D155" s="125">
        <f t="shared" si="17"/>
        <v>0</v>
      </c>
      <c r="E155" s="125"/>
      <c r="F155" s="85">
        <v>115.32707615533583</v>
      </c>
      <c r="G155" s="86"/>
      <c r="H155" s="86">
        <v>80.929792693061131</v>
      </c>
      <c r="I155" s="86">
        <v>270.98092556051733</v>
      </c>
      <c r="J155" s="86"/>
      <c r="K155" s="86"/>
      <c r="L155" s="86"/>
      <c r="M155" s="86"/>
      <c r="N155" s="86"/>
      <c r="O155" s="86">
        <v>94.885806160754328</v>
      </c>
      <c r="P155" s="86">
        <v>99.048087734175851</v>
      </c>
      <c r="Q155" s="86"/>
      <c r="R155" s="86"/>
      <c r="S155" s="86"/>
      <c r="T155" s="86"/>
      <c r="U155" s="86">
        <v>67.276103678491353</v>
      </c>
      <c r="V155" s="86"/>
      <c r="W155" s="86"/>
      <c r="X155" s="86"/>
      <c r="Y155" s="86">
        <v>62.332443739531641</v>
      </c>
      <c r="Z155" s="86"/>
      <c r="AA155" s="86">
        <v>124.77796473956722</v>
      </c>
      <c r="AB155" s="86"/>
      <c r="AC155" s="86">
        <v>105.14683616304856</v>
      </c>
      <c r="AD155" s="86">
        <v>82.331602737001447</v>
      </c>
      <c r="AE155" s="86"/>
      <c r="AF155" s="86"/>
      <c r="AG155" s="86"/>
      <c r="AH155" s="114"/>
    </row>
    <row r="156" spans="1:34" s="87" customFormat="1" hidden="1" outlineLevel="1" x14ac:dyDescent="0.2">
      <c r="A156" s="126" t="str">
        <f>[1]СВОД!A218</f>
        <v xml:space="preserve"> - амплипульстерапия</v>
      </c>
      <c r="B156" s="89" t="str">
        <f>[1]СВОД!B218</f>
        <v>1 услуга</v>
      </c>
      <c r="C156" s="89"/>
      <c r="D156" s="125">
        <f t="shared" si="17"/>
        <v>0</v>
      </c>
      <c r="E156" s="125"/>
      <c r="F156" s="85">
        <v>86.495307116501863</v>
      </c>
      <c r="G156" s="86"/>
      <c r="H156" s="86">
        <v>60.697344519795855</v>
      </c>
      <c r="I156" s="86">
        <v>376.83381739661411</v>
      </c>
      <c r="J156" s="86"/>
      <c r="K156" s="86"/>
      <c r="L156" s="86"/>
      <c r="M156" s="86"/>
      <c r="N156" s="86"/>
      <c r="O156" s="86">
        <v>71.164354620565732</v>
      </c>
      <c r="P156" s="86"/>
      <c r="Q156" s="86"/>
      <c r="R156" s="86"/>
      <c r="S156" s="86"/>
      <c r="T156" s="86"/>
      <c r="U156" s="86">
        <v>50.457077758868508</v>
      </c>
      <c r="V156" s="86"/>
      <c r="W156" s="86"/>
      <c r="X156" s="86"/>
      <c r="Y156" s="86">
        <v>46.749332804648738</v>
      </c>
      <c r="Z156" s="86"/>
      <c r="AA156" s="86">
        <v>93.583473554675408</v>
      </c>
      <c r="AB156" s="86"/>
      <c r="AC156" s="86">
        <v>78.860127122286414</v>
      </c>
      <c r="AD156" s="86">
        <v>61.748702052751085</v>
      </c>
      <c r="AE156" s="86"/>
      <c r="AF156" s="86"/>
      <c r="AG156" s="86"/>
      <c r="AH156" s="114"/>
    </row>
    <row r="157" spans="1:34" s="87" customFormat="1" hidden="1" outlineLevel="1" x14ac:dyDescent="0.2">
      <c r="A157" s="126" t="str">
        <f>[1]СВОД!A219</f>
        <v>Дарсонвализация:</v>
      </c>
      <c r="B157" s="89"/>
      <c r="C157" s="89"/>
      <c r="D157" s="125">
        <f t="shared" si="17"/>
        <v>0</v>
      </c>
      <c r="E157" s="125"/>
      <c r="F157" s="85"/>
      <c r="G157" s="86"/>
      <c r="H157" s="86"/>
      <c r="I157" s="86"/>
      <c r="J157" s="86"/>
      <c r="K157" s="86"/>
      <c r="L157" s="86"/>
      <c r="M157" s="86"/>
      <c r="N157" s="86"/>
      <c r="O157" s="86"/>
      <c r="P157" s="86"/>
      <c r="Q157" s="86"/>
      <c r="R157" s="86"/>
      <c r="S157" s="86"/>
      <c r="T157" s="86"/>
      <c r="U157" s="86"/>
      <c r="V157" s="86"/>
      <c r="W157" s="86"/>
      <c r="X157" s="86"/>
      <c r="Y157" s="86"/>
      <c r="Z157" s="86"/>
      <c r="AA157" s="86"/>
      <c r="AB157" s="86"/>
      <c r="AC157" s="86"/>
      <c r="AD157" s="86"/>
      <c r="AE157" s="86"/>
      <c r="AF157" s="86"/>
      <c r="AG157" s="86"/>
      <c r="AH157" s="114"/>
    </row>
    <row r="158" spans="1:34" s="87" customFormat="1" ht="30" hidden="1" outlineLevel="1" x14ac:dyDescent="0.2">
      <c r="A158" s="126" t="str">
        <f>[1]СВОД!A220</f>
        <v xml:space="preserve"> - местная ( голова, шейно-воротниковая зона )</v>
      </c>
      <c r="B158" s="89" t="str">
        <f>[1]СВОД!B220</f>
        <v>1 услуга</v>
      </c>
      <c r="C158" s="89"/>
      <c r="D158" s="125">
        <f t="shared" si="17"/>
        <v>0</v>
      </c>
      <c r="E158" s="125"/>
      <c r="F158" s="85">
        <v>86.495307116501863</v>
      </c>
      <c r="G158" s="86"/>
      <c r="H158" s="86">
        <v>60.697344519795855</v>
      </c>
      <c r="I158" s="86">
        <v>376.83381739661411</v>
      </c>
      <c r="J158" s="86"/>
      <c r="K158" s="86"/>
      <c r="L158" s="86"/>
      <c r="M158" s="86"/>
      <c r="N158" s="86"/>
      <c r="O158" s="86">
        <v>71.164354620565732</v>
      </c>
      <c r="P158" s="86"/>
      <c r="Q158" s="86"/>
      <c r="R158" s="86"/>
      <c r="S158" s="86"/>
      <c r="T158" s="86"/>
      <c r="U158" s="86">
        <v>50.457077758868508</v>
      </c>
      <c r="V158" s="86"/>
      <c r="W158" s="86"/>
      <c r="X158" s="86"/>
      <c r="Y158" s="86">
        <v>46.749332804648738</v>
      </c>
      <c r="Z158" s="86"/>
      <c r="AA158" s="86">
        <v>93.583473554675408</v>
      </c>
      <c r="AB158" s="86"/>
      <c r="AC158" s="86">
        <v>78.860127122286414</v>
      </c>
      <c r="AD158" s="86">
        <v>61.748702052751085</v>
      </c>
      <c r="AE158" s="86"/>
      <c r="AF158" s="86"/>
      <c r="AG158" s="86"/>
      <c r="AH158" s="114"/>
    </row>
    <row r="159" spans="1:34" s="87" customFormat="1" hidden="1" outlineLevel="1" x14ac:dyDescent="0.2">
      <c r="A159" s="126" t="str">
        <f>[1]СВОД!A221</f>
        <v xml:space="preserve"> - полостная ( нос, ухо )</v>
      </c>
      <c r="B159" s="89" t="str">
        <f>[1]СВОД!B221</f>
        <v>1 услуга</v>
      </c>
      <c r="C159" s="89"/>
      <c r="D159" s="125">
        <f t="shared" si="17"/>
        <v>0</v>
      </c>
      <c r="E159" s="125"/>
      <c r="F159" s="85">
        <v>86.495307116501863</v>
      </c>
      <c r="G159" s="86"/>
      <c r="H159" s="86">
        <v>60.697344519795855</v>
      </c>
      <c r="I159" s="86">
        <v>376.83381739661411</v>
      </c>
      <c r="J159" s="86"/>
      <c r="K159" s="86"/>
      <c r="L159" s="86"/>
      <c r="M159" s="86"/>
      <c r="N159" s="86"/>
      <c r="O159" s="86">
        <v>71.164354620565732</v>
      </c>
      <c r="P159" s="86"/>
      <c r="Q159" s="86"/>
      <c r="R159" s="86"/>
      <c r="S159" s="86"/>
      <c r="T159" s="86"/>
      <c r="U159" s="86">
        <v>50.457077758868508</v>
      </c>
      <c r="V159" s="86"/>
      <c r="W159" s="86"/>
      <c r="X159" s="86"/>
      <c r="Y159" s="86">
        <v>46.749332804648738</v>
      </c>
      <c r="Z159" s="86"/>
      <c r="AA159" s="86">
        <v>93.583473554675408</v>
      </c>
      <c r="AB159" s="86"/>
      <c r="AC159" s="86">
        <v>78.860127122286414</v>
      </c>
      <c r="AD159" s="86">
        <v>61.748702052751085</v>
      </c>
      <c r="AE159" s="86"/>
      <c r="AF159" s="86"/>
      <c r="AG159" s="86"/>
      <c r="AH159" s="114"/>
    </row>
    <row r="160" spans="1:34" s="87" customFormat="1" hidden="1" outlineLevel="1" x14ac:dyDescent="0.2">
      <c r="A160" s="126" t="str">
        <f>[1]СВОД!A222</f>
        <v>Магнитотерапия</v>
      </c>
      <c r="B160" s="89" t="str">
        <f>[1]СВОД!B222</f>
        <v>1 услуга</v>
      </c>
      <c r="C160" s="89"/>
      <c r="D160" s="125">
        <f t="shared" si="17"/>
        <v>0</v>
      </c>
      <c r="E160" s="125"/>
      <c r="F160" s="85">
        <v>115.32707615533583</v>
      </c>
      <c r="G160" s="86"/>
      <c r="H160" s="86">
        <v>80.929792693061131</v>
      </c>
      <c r="I160" s="86">
        <v>502.44508986215226</v>
      </c>
      <c r="J160" s="86"/>
      <c r="K160" s="86"/>
      <c r="L160" s="86"/>
      <c r="M160" s="86"/>
      <c r="N160" s="86"/>
      <c r="O160" s="86">
        <v>94.885806160754328</v>
      </c>
      <c r="P160" s="86"/>
      <c r="Q160" s="86"/>
      <c r="R160" s="86"/>
      <c r="S160" s="86"/>
      <c r="T160" s="86"/>
      <c r="U160" s="86">
        <v>67.276103678491353</v>
      </c>
      <c r="V160" s="86"/>
      <c r="W160" s="86"/>
      <c r="X160" s="86"/>
      <c r="Y160" s="86">
        <v>62.332443739531641</v>
      </c>
      <c r="Z160" s="86"/>
      <c r="AA160" s="86">
        <v>124.77796473956722</v>
      </c>
      <c r="AB160" s="86"/>
      <c r="AC160" s="86">
        <v>105.14683616304856</v>
      </c>
      <c r="AD160" s="86">
        <v>82.331602737001447</v>
      </c>
      <c r="AE160" s="86"/>
      <c r="AF160" s="86"/>
      <c r="AG160" s="86"/>
      <c r="AH160" s="114"/>
    </row>
    <row r="161" spans="1:34" s="87" customFormat="1" hidden="1" outlineLevel="1" x14ac:dyDescent="0.2">
      <c r="A161" s="126" t="str">
        <f>[1]СВОД!A223</f>
        <v>Лазеротерапия</v>
      </c>
      <c r="B161" s="89" t="str">
        <f>[1]СВОД!B223</f>
        <v>1 услуга</v>
      </c>
      <c r="C161" s="89"/>
      <c r="D161" s="125">
        <f t="shared" si="17"/>
        <v>0</v>
      </c>
      <c r="E161" s="125"/>
      <c r="F161" s="85">
        <v>115.32707615533583</v>
      </c>
      <c r="G161" s="86"/>
      <c r="H161" s="86">
        <v>80.929792693061131</v>
      </c>
      <c r="I161" s="86">
        <v>502.44508986215226</v>
      </c>
      <c r="J161" s="86"/>
      <c r="K161" s="86"/>
      <c r="L161" s="86"/>
      <c r="M161" s="86"/>
      <c r="N161" s="86"/>
      <c r="O161" s="86">
        <v>94.885806160754328</v>
      </c>
      <c r="P161" s="86"/>
      <c r="Q161" s="86"/>
      <c r="R161" s="86"/>
      <c r="S161" s="86"/>
      <c r="T161" s="86"/>
      <c r="U161" s="86">
        <v>67.276103678491353</v>
      </c>
      <c r="V161" s="86"/>
      <c r="W161" s="86"/>
      <c r="X161" s="86"/>
      <c r="Y161" s="86">
        <v>62.332443739531641</v>
      </c>
      <c r="Z161" s="86"/>
      <c r="AA161" s="86">
        <v>124.77796473956722</v>
      </c>
      <c r="AB161" s="86"/>
      <c r="AC161" s="86">
        <v>105.14683616304856</v>
      </c>
      <c r="AD161" s="86">
        <v>82.331602737001447</v>
      </c>
      <c r="AE161" s="86"/>
      <c r="AF161" s="86"/>
      <c r="AG161" s="86"/>
      <c r="AH161" s="114"/>
    </row>
    <row r="162" spans="1:34" s="87" customFormat="1" hidden="1" outlineLevel="1" x14ac:dyDescent="0.2">
      <c r="A162" s="126" t="str">
        <f>[1]СВОД!A224</f>
        <v>КВЧ терапия</v>
      </c>
      <c r="B162" s="89" t="str">
        <f>[1]СВОД!B224</f>
        <v>1 услуга</v>
      </c>
      <c r="C162" s="89"/>
      <c r="D162" s="125">
        <f t="shared" si="17"/>
        <v>0</v>
      </c>
      <c r="E162" s="125"/>
      <c r="F162" s="85">
        <v>86.495307116501863</v>
      </c>
      <c r="G162" s="86"/>
      <c r="H162" s="86">
        <v>60.697344519795855</v>
      </c>
      <c r="I162" s="86">
        <v>376.83381739661411</v>
      </c>
      <c r="J162" s="86"/>
      <c r="K162" s="86"/>
      <c r="L162" s="86"/>
      <c r="M162" s="86"/>
      <c r="N162" s="86"/>
      <c r="O162" s="86">
        <v>71.164354620565732</v>
      </c>
      <c r="P162" s="86"/>
      <c r="Q162" s="86"/>
      <c r="R162" s="86"/>
      <c r="S162" s="86"/>
      <c r="T162" s="86"/>
      <c r="U162" s="86">
        <v>50.457077758868508</v>
      </c>
      <c r="V162" s="86"/>
      <c r="W162" s="86"/>
      <c r="X162" s="86"/>
      <c r="Y162" s="86">
        <v>46.749332804648738</v>
      </c>
      <c r="Z162" s="86"/>
      <c r="AA162" s="86">
        <v>93.583473554675408</v>
      </c>
      <c r="AB162" s="86"/>
      <c r="AC162" s="86">
        <v>78.860127122286414</v>
      </c>
      <c r="AD162" s="86">
        <v>61.748702052751085</v>
      </c>
      <c r="AE162" s="86"/>
      <c r="AF162" s="86"/>
      <c r="AG162" s="86"/>
      <c r="AH162" s="114"/>
    </row>
    <row r="163" spans="1:34" s="87" customFormat="1" hidden="1" outlineLevel="1" x14ac:dyDescent="0.2">
      <c r="A163" s="126" t="str">
        <f>[1]СВОД!A225</f>
        <v>УВЧ терапия</v>
      </c>
      <c r="B163" s="89" t="str">
        <f>[1]СВОД!B225</f>
        <v>1 услуга</v>
      </c>
      <c r="C163" s="89"/>
      <c r="D163" s="125">
        <f t="shared" si="17"/>
        <v>0</v>
      </c>
      <c r="E163" s="125"/>
      <c r="F163" s="85">
        <v>57.663538077667916</v>
      </c>
      <c r="G163" s="86"/>
      <c r="H163" s="86">
        <v>40.464896346530566</v>
      </c>
      <c r="I163" s="86">
        <v>251.22254493107613</v>
      </c>
      <c r="J163" s="86"/>
      <c r="K163" s="86"/>
      <c r="L163" s="86"/>
      <c r="M163" s="86"/>
      <c r="N163" s="86"/>
      <c r="O163" s="86">
        <v>47.442903080377164</v>
      </c>
      <c r="P163" s="86"/>
      <c r="Q163" s="86"/>
      <c r="R163" s="86"/>
      <c r="S163" s="86"/>
      <c r="T163" s="86"/>
      <c r="U163" s="86">
        <v>33.638051839245676</v>
      </c>
      <c r="V163" s="86"/>
      <c r="W163" s="86"/>
      <c r="X163" s="86"/>
      <c r="Y163" s="86">
        <v>31.16622186976582</v>
      </c>
      <c r="Z163" s="86"/>
      <c r="AA163" s="86">
        <v>62.388982369783612</v>
      </c>
      <c r="AB163" s="86"/>
      <c r="AC163" s="86">
        <v>52.573418081524281</v>
      </c>
      <c r="AD163" s="86">
        <v>41.165801368500723</v>
      </c>
      <c r="AE163" s="86"/>
      <c r="AF163" s="86"/>
      <c r="AG163" s="86"/>
      <c r="AH163" s="114"/>
    </row>
    <row r="164" spans="1:34" s="87" customFormat="1" hidden="1" outlineLevel="1" x14ac:dyDescent="0.2">
      <c r="A164" s="126" t="str">
        <f>[1]СВОД!A226</f>
        <v>Ультразвуковая терапия</v>
      </c>
      <c r="B164" s="89" t="str">
        <f>[1]СВОД!B226</f>
        <v>1 услуга</v>
      </c>
      <c r="C164" s="89"/>
      <c r="D164" s="125">
        <f t="shared" si="17"/>
        <v>0</v>
      </c>
      <c r="E164" s="125"/>
      <c r="F164" s="85">
        <v>86.495307116501863</v>
      </c>
      <c r="G164" s="86"/>
      <c r="H164" s="86">
        <v>60.697344519795855</v>
      </c>
      <c r="I164" s="86">
        <v>376.83381739661411</v>
      </c>
      <c r="J164" s="86"/>
      <c r="K164" s="86"/>
      <c r="L164" s="86"/>
      <c r="M164" s="86"/>
      <c r="N164" s="86"/>
      <c r="O164" s="86">
        <v>71.164354620565732</v>
      </c>
      <c r="P164" s="86"/>
      <c r="Q164" s="86"/>
      <c r="R164" s="86"/>
      <c r="S164" s="86"/>
      <c r="T164" s="86"/>
      <c r="U164" s="86">
        <v>50.457077758868508</v>
      </c>
      <c r="V164" s="86"/>
      <c r="W164" s="86"/>
      <c r="X164" s="86"/>
      <c r="Y164" s="86">
        <v>46.749332804648738</v>
      </c>
      <c r="Z164" s="86"/>
      <c r="AA164" s="86">
        <v>93.583473554675408</v>
      </c>
      <c r="AB164" s="86"/>
      <c r="AC164" s="86">
        <v>78.860127122286414</v>
      </c>
      <c r="AD164" s="86">
        <v>61.748702052751085</v>
      </c>
      <c r="AE164" s="86"/>
      <c r="AF164" s="86"/>
      <c r="AG164" s="86"/>
      <c r="AH164" s="114"/>
    </row>
    <row r="165" spans="1:34" s="87" customFormat="1" ht="30" hidden="1" outlineLevel="1" x14ac:dyDescent="0.2">
      <c r="A165" s="126" t="str">
        <f>[1]СВОД!A227</f>
        <v>Оздоровительный сеанс лампы Чижевского ( индивидуально )</v>
      </c>
      <c r="B165" s="89" t="str">
        <f>[1]СВОД!B227</f>
        <v>1 услуга</v>
      </c>
      <c r="C165" s="89"/>
      <c r="D165" s="125">
        <f t="shared" si="17"/>
        <v>0</v>
      </c>
      <c r="E165" s="125"/>
      <c r="F165" s="85">
        <v>115.32707615533583</v>
      </c>
      <c r="G165" s="86"/>
      <c r="H165" s="86">
        <v>80.929792693061131</v>
      </c>
      <c r="I165" s="86">
        <v>502.44508986215226</v>
      </c>
      <c r="J165" s="86"/>
      <c r="K165" s="86">
        <v>117.8158359055174</v>
      </c>
      <c r="L165" s="86"/>
      <c r="M165" s="86"/>
      <c r="N165" s="86"/>
      <c r="O165" s="86">
        <v>94.885806160754328</v>
      </c>
      <c r="P165" s="86">
        <v>99.048087734175851</v>
      </c>
      <c r="Q165" s="86"/>
      <c r="R165" s="86"/>
      <c r="S165" s="86"/>
      <c r="T165" s="86"/>
      <c r="U165" s="86">
        <v>67.276103678491353</v>
      </c>
      <c r="V165" s="86"/>
      <c r="W165" s="86"/>
      <c r="X165" s="86"/>
      <c r="Y165" s="86">
        <v>62.332443739531641</v>
      </c>
      <c r="Z165" s="86"/>
      <c r="AA165" s="86">
        <v>124.77796473956722</v>
      </c>
      <c r="AB165" s="86"/>
      <c r="AC165" s="86">
        <v>105.14683616304856</v>
      </c>
      <c r="AD165" s="86">
        <v>82.331602737001447</v>
      </c>
      <c r="AE165" s="86"/>
      <c r="AF165" s="86"/>
      <c r="AG165" s="86"/>
      <c r="AH165" s="114"/>
    </row>
    <row r="166" spans="1:34" s="87" customFormat="1" ht="30" hidden="1" outlineLevel="1" x14ac:dyDescent="0.2">
      <c r="A166" s="126" t="str">
        <f>[1]СВОД!A228</f>
        <v>Оздоровительный сеанс лампы Чижевского ( групповые - 5 чел. )</v>
      </c>
      <c r="B166" s="89" t="str">
        <f>[1]СВОД!B228</f>
        <v>1 услуга</v>
      </c>
      <c r="C166" s="89"/>
      <c r="D166" s="125">
        <f t="shared" si="17"/>
        <v>0</v>
      </c>
      <c r="E166" s="125"/>
      <c r="F166" s="85">
        <f>115.327076155336/5</f>
        <v>23.065415231067199</v>
      </c>
      <c r="G166" s="86"/>
      <c r="H166" s="86">
        <f>80.9297926930611/5</f>
        <v>16.185958538612219</v>
      </c>
      <c r="I166" s="86">
        <f>100.48901797243/5</f>
        <v>20.097803594486003</v>
      </c>
      <c r="J166" s="86"/>
      <c r="K166" s="86">
        <v>23.563167181103481</v>
      </c>
      <c r="L166" s="86"/>
      <c r="M166" s="86"/>
      <c r="N166" s="86"/>
      <c r="O166" s="86">
        <v>18.977161232150866</v>
      </c>
      <c r="P166" s="86">
        <v>19.80961754683517</v>
      </c>
      <c r="Q166" s="86"/>
      <c r="R166" s="86"/>
      <c r="S166" s="86"/>
      <c r="T166" s="86"/>
      <c r="U166" s="86">
        <v>13.455220735698271</v>
      </c>
      <c r="V166" s="86"/>
      <c r="W166" s="86"/>
      <c r="X166" s="86"/>
      <c r="Y166" s="86">
        <v>12.466488747906329</v>
      </c>
      <c r="Z166" s="86"/>
      <c r="AA166" s="86">
        <v>24.955592947913445</v>
      </c>
      <c r="AB166" s="86"/>
      <c r="AC166" s="86">
        <v>21.029367232609712</v>
      </c>
      <c r="AD166" s="86">
        <v>16.46632054740029</v>
      </c>
      <c r="AE166" s="86"/>
      <c r="AF166" s="86"/>
      <c r="AG166" s="86"/>
      <c r="AH166" s="114"/>
    </row>
    <row r="167" spans="1:34" s="87" customFormat="1" ht="30" hidden="1" outlineLevel="1" x14ac:dyDescent="0.2">
      <c r="A167" s="126" t="str">
        <f>[1]СВОД!A229</f>
        <v>Пальчиковая гимнастика ( групповые занятия – 3 чел. )</v>
      </c>
      <c r="B167" s="89" t="str">
        <f>[1]СВОД!B229</f>
        <v>1 услуга</v>
      </c>
      <c r="C167" s="89"/>
      <c r="D167" s="125">
        <f t="shared" si="17"/>
        <v>0</v>
      </c>
      <c r="E167" s="125"/>
      <c r="F167" s="85">
        <f>92.6898227813615/3</f>
        <v>30.896607593787166</v>
      </c>
      <c r="G167" s="86"/>
      <c r="H167" s="86">
        <f>83.9056315524931/3</f>
        <v>27.968543850831036</v>
      </c>
      <c r="I167" s="86">
        <f>79.6812984618885/3</f>
        <v>26.560432820629501</v>
      </c>
      <c r="J167" s="86"/>
      <c r="K167" s="86">
        <v>39.271945301839132</v>
      </c>
      <c r="L167" s="86"/>
      <c r="M167" s="86"/>
      <c r="N167" s="86"/>
      <c r="O167" s="86">
        <v>31.628602053584775</v>
      </c>
      <c r="P167" s="86">
        <v>30.335570791284578</v>
      </c>
      <c r="Q167" s="86">
        <v>55.490140506574477</v>
      </c>
      <c r="R167" s="86"/>
      <c r="S167" s="86"/>
      <c r="T167" s="86"/>
      <c r="U167" s="86">
        <v>22.425367892830451</v>
      </c>
      <c r="V167" s="86"/>
      <c r="W167" s="86"/>
      <c r="X167" s="86"/>
      <c r="Y167" s="86">
        <v>20.777481246510547</v>
      </c>
      <c r="Z167" s="86"/>
      <c r="AA167" s="86">
        <v>41.592654913189072</v>
      </c>
      <c r="AB167" s="86"/>
      <c r="AC167" s="86">
        <v>35.048945387682856</v>
      </c>
      <c r="AD167" s="86">
        <v>27.443867579000482</v>
      </c>
      <c r="AE167" s="86"/>
      <c r="AF167" s="86"/>
      <c r="AG167" s="86"/>
      <c r="AH167" s="114"/>
    </row>
    <row r="168" spans="1:34" s="87" customFormat="1" ht="15.75" collapsed="1" x14ac:dyDescent="0.25">
      <c r="A168" s="253" t="str">
        <f>[1]СВОД!A233</f>
        <v>Социально-психологические услуги</v>
      </c>
      <c r="B168" s="254"/>
      <c r="C168" s="254"/>
      <c r="D168" s="254"/>
      <c r="E168" s="255"/>
      <c r="F168" s="85"/>
      <c r="G168" s="86"/>
      <c r="H168" s="86"/>
      <c r="I168" s="86"/>
      <c r="J168" s="86"/>
      <c r="K168" s="86"/>
      <c r="L168" s="86"/>
      <c r="M168" s="86"/>
      <c r="N168" s="86"/>
      <c r="O168" s="86"/>
      <c r="P168" s="86"/>
      <c r="Q168" s="86"/>
      <c r="R168" s="86"/>
      <c r="S168" s="86"/>
      <c r="T168" s="86"/>
      <c r="U168" s="86"/>
      <c r="V168" s="86"/>
      <c r="W168" s="86"/>
      <c r="X168" s="86"/>
      <c r="Y168" s="86"/>
      <c r="Z168" s="86"/>
      <c r="AA168" s="86"/>
      <c r="AB168" s="86"/>
      <c r="AC168" s="86"/>
      <c r="AD168" s="86"/>
      <c r="AE168" s="86"/>
      <c r="AF168" s="86"/>
      <c r="AG168" s="86"/>
      <c r="AH168" s="114"/>
    </row>
    <row r="169" spans="1:34" s="87" customFormat="1" ht="30" x14ac:dyDescent="0.2">
      <c r="A169" s="115" t="s">
        <v>427</v>
      </c>
      <c r="B169" s="89" t="str">
        <f>[1]СВОД!B234</f>
        <v>1 услуга</v>
      </c>
      <c r="C169" s="89">
        <v>133.75</v>
      </c>
      <c r="D169" s="125">
        <v>169</v>
      </c>
      <c r="E169" s="125">
        <f>D169*1.04</f>
        <v>175.76000000000002</v>
      </c>
      <c r="F169" s="85">
        <v>360.96795864513535</v>
      </c>
      <c r="G169" s="86">
        <v>297.31592357180364</v>
      </c>
      <c r="H169" s="86">
        <v>293.05148267662798</v>
      </c>
      <c r="I169" s="86">
        <v>717.13186568887272</v>
      </c>
      <c r="J169" s="86">
        <v>265.36350940953622</v>
      </c>
      <c r="K169" s="86">
        <v>367.19512839299199</v>
      </c>
      <c r="L169" s="86">
        <v>243.20983071537839</v>
      </c>
      <c r="M169" s="86">
        <v>234.53164393057477</v>
      </c>
      <c r="N169" s="86">
        <v>262.79584612130697</v>
      </c>
      <c r="O169" s="86">
        <v>291.72286370239368</v>
      </c>
      <c r="P169" s="86">
        <v>283.9206326370691</v>
      </c>
      <c r="Q169" s="86">
        <v>249.70594145513434</v>
      </c>
      <c r="R169" s="86"/>
      <c r="S169" s="86"/>
      <c r="T169" s="86">
        <v>277.12557252477154</v>
      </c>
      <c r="U169" s="86">
        <v>226.73638777721186</v>
      </c>
      <c r="V169" s="86">
        <v>361.03017721824324</v>
      </c>
      <c r="W169" s="86">
        <v>311.47930435117763</v>
      </c>
      <c r="X169" s="86">
        <v>297.3626604525312</v>
      </c>
      <c r="Y169" s="86">
        <v>233.9187942156816</v>
      </c>
      <c r="Z169" s="86">
        <v>260.45332892284284</v>
      </c>
      <c r="AA169" s="86">
        <v>448.50486195624234</v>
      </c>
      <c r="AB169" s="86">
        <v>306.26957089781973</v>
      </c>
      <c r="AC169" s="86">
        <v>294.90856314751977</v>
      </c>
      <c r="AD169" s="86">
        <v>342.73382336079135</v>
      </c>
      <c r="AE169" s="86">
        <v>259.74285478271923</v>
      </c>
      <c r="AF169" s="86">
        <v>377.26119632753785</v>
      </c>
      <c r="AG169" s="86">
        <v>240.59557626809249</v>
      </c>
      <c r="AH169" s="114"/>
    </row>
    <row r="170" spans="1:34" s="87" customFormat="1" ht="45" x14ac:dyDescent="0.2">
      <c r="A170" s="115" t="s">
        <v>591</v>
      </c>
      <c r="B170" s="89" t="str">
        <f>[1]СВОД!B235</f>
        <v>1 услуга</v>
      </c>
      <c r="C170" s="89">
        <v>133.75</v>
      </c>
      <c r="D170" s="125">
        <v>169</v>
      </c>
      <c r="E170" s="125">
        <f t="shared" ref="E170:E172" si="18">D170*1.04</f>
        <v>175.76000000000002</v>
      </c>
      <c r="F170" s="85">
        <v>360.96795864513535</v>
      </c>
      <c r="G170" s="86">
        <v>297.31592357180364</v>
      </c>
      <c r="H170" s="86">
        <v>293.05148267662798</v>
      </c>
      <c r="I170" s="86">
        <v>717.13186568887272</v>
      </c>
      <c r="J170" s="86">
        <v>265.36350940953622</v>
      </c>
      <c r="K170" s="86">
        <v>367.19512839299199</v>
      </c>
      <c r="L170" s="86">
        <v>243.20983071537839</v>
      </c>
      <c r="M170" s="86">
        <v>234.53164393057477</v>
      </c>
      <c r="N170" s="86">
        <v>262.79584612130697</v>
      </c>
      <c r="O170" s="86">
        <v>291.72286370239368</v>
      </c>
      <c r="P170" s="86">
        <v>283.9206326370691</v>
      </c>
      <c r="Q170" s="86">
        <v>249.70594145513434</v>
      </c>
      <c r="R170" s="86"/>
      <c r="S170" s="86"/>
      <c r="T170" s="86">
        <v>277.12557252477154</v>
      </c>
      <c r="U170" s="86">
        <v>226.73638777721186</v>
      </c>
      <c r="V170" s="86">
        <v>361.03017721824324</v>
      </c>
      <c r="W170" s="86">
        <v>311.47930435117763</v>
      </c>
      <c r="X170" s="86">
        <v>297.3626604525312</v>
      </c>
      <c r="Y170" s="86">
        <v>233.9187942156816</v>
      </c>
      <c r="Z170" s="86">
        <v>260.45332892284284</v>
      </c>
      <c r="AA170" s="86">
        <v>448.50486195624234</v>
      </c>
      <c r="AB170" s="86">
        <v>306.26957089781973</v>
      </c>
      <c r="AC170" s="86">
        <v>294.90856314751977</v>
      </c>
      <c r="AD170" s="86">
        <v>342.73382336079135</v>
      </c>
      <c r="AE170" s="86">
        <v>259.74285478271923</v>
      </c>
      <c r="AF170" s="86">
        <v>377.26119632753785</v>
      </c>
      <c r="AG170" s="86">
        <v>240.59557626809249</v>
      </c>
      <c r="AH170" s="114"/>
    </row>
    <row r="171" spans="1:34" s="87" customFormat="1" ht="45" x14ac:dyDescent="0.2">
      <c r="A171" s="115" t="s">
        <v>428</v>
      </c>
      <c r="B171" s="89" t="s">
        <v>32</v>
      </c>
      <c r="C171" s="89">
        <v>231.17</v>
      </c>
      <c r="D171" s="125">
        <v>292</v>
      </c>
      <c r="E171" s="125">
        <f t="shared" si="18"/>
        <v>303.68</v>
      </c>
      <c r="F171" s="85">
        <v>240.64530576342364</v>
      </c>
      <c r="G171" s="86">
        <v>198.21061571453569</v>
      </c>
      <c r="H171" s="86">
        <v>195.36765511775198</v>
      </c>
      <c r="I171" s="86">
        <v>478.08791045924835</v>
      </c>
      <c r="J171" s="86">
        <v>176.90900627302412</v>
      </c>
      <c r="K171" s="86">
        <v>244.7967522619947</v>
      </c>
      <c r="L171" s="86"/>
      <c r="M171" s="86">
        <v>156.35442928704987</v>
      </c>
      <c r="N171" s="86">
        <v>175.19723074753799</v>
      </c>
      <c r="O171" s="86">
        <v>194.48190913492911</v>
      </c>
      <c r="P171" s="86">
        <v>189.28042175804606</v>
      </c>
      <c r="Q171" s="86">
        <v>166.47062763675621</v>
      </c>
      <c r="R171" s="86"/>
      <c r="S171" s="86"/>
      <c r="T171" s="86">
        <v>184.75038168318105</v>
      </c>
      <c r="U171" s="86">
        <v>151.15759185147459</v>
      </c>
      <c r="V171" s="86">
        <v>240.68678481216213</v>
      </c>
      <c r="W171" s="86">
        <v>207.65286956745175</v>
      </c>
      <c r="X171" s="86">
        <v>198.24177363502082</v>
      </c>
      <c r="Y171" s="86">
        <v>155.9458628104544</v>
      </c>
      <c r="Z171" s="86">
        <v>173.63555261522856</v>
      </c>
      <c r="AA171" s="86">
        <v>299.00324130416158</v>
      </c>
      <c r="AB171" s="86">
        <v>204.17971393187983</v>
      </c>
      <c r="AC171" s="86">
        <v>196.60570876501316</v>
      </c>
      <c r="AD171" s="86"/>
      <c r="AE171" s="86">
        <v>173.16190318847947</v>
      </c>
      <c r="AF171" s="86">
        <v>251.50746421835856</v>
      </c>
      <c r="AG171" s="86">
        <v>160.39705084539497</v>
      </c>
      <c r="AH171" s="114"/>
    </row>
    <row r="172" spans="1:34" s="87" customFormat="1" ht="45" x14ac:dyDescent="0.2">
      <c r="A172" s="115" t="s">
        <v>592</v>
      </c>
      <c r="B172" s="89" t="str">
        <f>[1]СВОД!B238</f>
        <v>1 услуга</v>
      </c>
      <c r="C172" s="89">
        <v>346.75</v>
      </c>
      <c r="D172" s="125">
        <v>438</v>
      </c>
      <c r="E172" s="125">
        <f t="shared" si="18"/>
        <v>455.52000000000004</v>
      </c>
      <c r="F172" s="85">
        <v>360.96795864513535</v>
      </c>
      <c r="G172" s="86">
        <v>297.31592357180364</v>
      </c>
      <c r="H172" s="86">
        <v>293.05148267662798</v>
      </c>
      <c r="I172" s="86">
        <v>717.13186568887272</v>
      </c>
      <c r="J172" s="86">
        <v>265.36350940953622</v>
      </c>
      <c r="K172" s="86">
        <v>367.19512839299199</v>
      </c>
      <c r="L172" s="86">
        <v>243.20983071537839</v>
      </c>
      <c r="M172" s="86">
        <v>234.53164393057477</v>
      </c>
      <c r="N172" s="86">
        <v>262.79584612130697</v>
      </c>
      <c r="O172" s="86">
        <v>291.72286370239368</v>
      </c>
      <c r="P172" s="86">
        <v>283.9206326370691</v>
      </c>
      <c r="Q172" s="86">
        <v>249.70594145513434</v>
      </c>
      <c r="R172" s="86"/>
      <c r="S172" s="86"/>
      <c r="T172" s="86">
        <v>277.12557252477154</v>
      </c>
      <c r="U172" s="86">
        <v>226.73638777721186</v>
      </c>
      <c r="V172" s="86">
        <v>361.03017721824324</v>
      </c>
      <c r="W172" s="86">
        <v>311.47930435117763</v>
      </c>
      <c r="X172" s="86">
        <v>297.3626604525312</v>
      </c>
      <c r="Y172" s="86">
        <v>233.9187942156816</v>
      </c>
      <c r="Z172" s="86">
        <v>260.45332892284284</v>
      </c>
      <c r="AA172" s="86">
        <v>448.50486195624234</v>
      </c>
      <c r="AB172" s="86">
        <v>306.26957089781973</v>
      </c>
      <c r="AC172" s="86">
        <v>294.90856314751977</v>
      </c>
      <c r="AD172" s="86">
        <v>257.19819512159393</v>
      </c>
      <c r="AE172" s="86">
        <v>259.74285478271923</v>
      </c>
      <c r="AF172" s="86">
        <v>270.1805479288837</v>
      </c>
      <c r="AG172" s="86">
        <v>240.59557626809249</v>
      </c>
      <c r="AH172" s="114"/>
    </row>
    <row r="173" spans="1:34" s="87" customFormat="1" ht="15.75" x14ac:dyDescent="0.25">
      <c r="A173" s="253" t="str">
        <f>[1]СВОД!A239</f>
        <v>Социально-педагогические услуги</v>
      </c>
      <c r="B173" s="254"/>
      <c r="C173" s="254"/>
      <c r="D173" s="254"/>
      <c r="E173" s="255"/>
      <c r="F173" s="85"/>
      <c r="G173" s="86"/>
      <c r="H173" s="86"/>
      <c r="I173" s="86"/>
      <c r="J173" s="86"/>
      <c r="K173" s="86"/>
      <c r="L173" s="86"/>
      <c r="M173" s="86"/>
      <c r="N173" s="86"/>
      <c r="O173" s="86"/>
      <c r="P173" s="86"/>
      <c r="Q173" s="86"/>
      <c r="R173" s="86"/>
      <c r="S173" s="86"/>
      <c r="T173" s="86"/>
      <c r="U173" s="86"/>
      <c r="V173" s="86"/>
      <c r="W173" s="86"/>
      <c r="X173" s="86"/>
      <c r="Y173" s="86"/>
      <c r="Z173" s="86"/>
      <c r="AA173" s="86"/>
      <c r="AB173" s="86"/>
      <c r="AC173" s="86"/>
      <c r="AD173" s="86"/>
      <c r="AE173" s="86"/>
      <c r="AF173" s="86"/>
      <c r="AG173" s="86"/>
      <c r="AH173" s="114"/>
    </row>
    <row r="174" spans="1:34" s="87" customFormat="1" ht="30" x14ac:dyDescent="0.2">
      <c r="A174" s="115" t="s">
        <v>434</v>
      </c>
      <c r="B174" s="89" t="str">
        <f>[1]СВОД!B240</f>
        <v>1 услуга</v>
      </c>
      <c r="C174" s="89">
        <v>213.16</v>
      </c>
      <c r="D174" s="125">
        <v>269</v>
      </c>
      <c r="E174" s="125">
        <f>D174*1.04</f>
        <v>279.76</v>
      </c>
      <c r="F174" s="85">
        <v>139.03473417204219</v>
      </c>
      <c r="G174" s="86">
        <v>153.66220415416609</v>
      </c>
      <c r="H174" s="86">
        <v>144.7760510123878</v>
      </c>
      <c r="I174" s="86">
        <v>358.56584307849829</v>
      </c>
      <c r="J174" s="86">
        <v>132.68161340003326</v>
      </c>
      <c r="K174" s="86">
        <v>176.7237538582761</v>
      </c>
      <c r="L174" s="86">
        <v>121.595377717269</v>
      </c>
      <c r="M174" s="86">
        <v>116.300566483732</v>
      </c>
      <c r="N174" s="86">
        <v>131.39792306065345</v>
      </c>
      <c r="O174" s="86">
        <v>145.86143185119684</v>
      </c>
      <c r="P174" s="86">
        <v>138.72133030749478</v>
      </c>
      <c r="Q174" s="86">
        <v>124.85297072756717</v>
      </c>
      <c r="R174" s="86"/>
      <c r="S174" s="86"/>
      <c r="T174" s="86">
        <v>147.62596554177506</v>
      </c>
      <c r="U174" s="86">
        <v>100.90932200133133</v>
      </c>
      <c r="V174" s="86">
        <v>135.6904765081722</v>
      </c>
      <c r="W174" s="86">
        <v>155.47153084868827</v>
      </c>
      <c r="X174" s="86">
        <v>148.6813302262656</v>
      </c>
      <c r="Y174" s="86">
        <v>116.97241822196091</v>
      </c>
      <c r="Z174" s="86">
        <v>130.21052332799783</v>
      </c>
      <c r="AA174" s="86">
        <v>207.9632745659454</v>
      </c>
      <c r="AB174" s="86">
        <v>134.06480417623871</v>
      </c>
      <c r="AC174" s="86">
        <v>131.2499033208793</v>
      </c>
      <c r="AD174" s="86">
        <v>142.93586733587574</v>
      </c>
      <c r="AE174" s="86">
        <v>129.87136925649489</v>
      </c>
      <c r="AF174" s="86">
        <v>135.09027396444185</v>
      </c>
      <c r="AG174" s="86">
        <v>102.70036037832547</v>
      </c>
      <c r="AH174" s="114"/>
    </row>
    <row r="175" spans="1:34" s="87" customFormat="1" ht="45" x14ac:dyDescent="0.2">
      <c r="A175" s="65" t="s">
        <v>618</v>
      </c>
      <c r="B175" s="89" t="str">
        <f>[1]СВОД!B241</f>
        <v>1 услуга</v>
      </c>
      <c r="C175" s="89"/>
      <c r="D175" s="125">
        <v>225</v>
      </c>
      <c r="E175" s="125">
        <f t="shared" ref="E175:E177" si="19">D175*1.04</f>
        <v>234</v>
      </c>
      <c r="F175" s="85"/>
      <c r="G175" s="86"/>
      <c r="H175" s="86"/>
      <c r="I175" s="86"/>
      <c r="J175" s="86"/>
      <c r="K175" s="86"/>
      <c r="L175" s="86"/>
      <c r="M175" s="86"/>
      <c r="N175" s="86"/>
      <c r="O175" s="86"/>
      <c r="P175" s="86"/>
      <c r="Q175" s="86"/>
      <c r="R175" s="86"/>
      <c r="S175" s="86"/>
      <c r="T175" s="86"/>
      <c r="U175" s="86"/>
      <c r="V175" s="86"/>
      <c r="W175" s="86"/>
      <c r="X175" s="86"/>
      <c r="Y175" s="86"/>
      <c r="Z175" s="86"/>
      <c r="AA175" s="86"/>
      <c r="AB175" s="86"/>
      <c r="AC175" s="86"/>
      <c r="AD175" s="86"/>
      <c r="AE175" s="86"/>
      <c r="AF175" s="86"/>
      <c r="AG175" s="86"/>
      <c r="AH175" s="114"/>
    </row>
    <row r="176" spans="1:34" s="87" customFormat="1" ht="30" x14ac:dyDescent="0.2">
      <c r="A176" s="115" t="s">
        <v>437</v>
      </c>
      <c r="B176" s="89" t="str">
        <f>[1]СВОД!B245</f>
        <v>1 услуга</v>
      </c>
      <c r="C176" s="89">
        <v>157.68</v>
      </c>
      <c r="D176" s="125">
        <v>199</v>
      </c>
      <c r="E176" s="125">
        <f t="shared" si="19"/>
        <v>206.96</v>
      </c>
      <c r="F176" s="85">
        <v>135.36298449192577</v>
      </c>
      <c r="G176" s="86">
        <v>153.66220415416609</v>
      </c>
      <c r="H176" s="86">
        <v>144.7760510123878</v>
      </c>
      <c r="I176" s="86">
        <v>358.56584307849829</v>
      </c>
      <c r="J176" s="86">
        <v>130.24883929470772</v>
      </c>
      <c r="K176" s="86">
        <v>176.7237538582761</v>
      </c>
      <c r="L176" s="86">
        <v>121.60491535768919</v>
      </c>
      <c r="M176" s="86">
        <v>116.300566483732</v>
      </c>
      <c r="N176" s="86">
        <v>131.39792306065348</v>
      </c>
      <c r="O176" s="86">
        <v>142.32870924113146</v>
      </c>
      <c r="P176" s="86">
        <v>136.51006856078061</v>
      </c>
      <c r="Q176" s="86">
        <v>124.85297072756717</v>
      </c>
      <c r="R176" s="86"/>
      <c r="S176" s="86"/>
      <c r="T176" s="86">
        <v>147.62596554177506</v>
      </c>
      <c r="U176" s="86">
        <v>100.90932200133133</v>
      </c>
      <c r="V176" s="86">
        <v>135.6904765081722</v>
      </c>
      <c r="W176" s="86">
        <v>155.47153084868827</v>
      </c>
      <c r="X176" s="86">
        <v>148.6813302262656</v>
      </c>
      <c r="Y176" s="86">
        <v>116.97241822196091</v>
      </c>
      <c r="Z176" s="86">
        <v>130.21052332799783</v>
      </c>
      <c r="AA176" s="86">
        <v>207.9632745659454</v>
      </c>
      <c r="AB176" s="86">
        <v>134.06480417623871</v>
      </c>
      <c r="AC176" s="86">
        <v>131.2499033208793</v>
      </c>
      <c r="AD176" s="86">
        <v>142.93586733587574</v>
      </c>
      <c r="AE176" s="86">
        <v>129.87132006545554</v>
      </c>
      <c r="AF176" s="86">
        <v>135.09027396444185</v>
      </c>
      <c r="AG176" s="86">
        <v>102.70036037832547</v>
      </c>
      <c r="AH176" s="114"/>
    </row>
    <row r="177" spans="1:34" s="87" customFormat="1" ht="45" x14ac:dyDescent="0.2">
      <c r="A177" s="115" t="s">
        <v>593</v>
      </c>
      <c r="B177" s="89" t="str">
        <f>[1]СВОД!B246</f>
        <v>1 услуга</v>
      </c>
      <c r="C177" s="89">
        <v>333.83</v>
      </c>
      <c r="D177" s="125">
        <v>422</v>
      </c>
      <c r="E177" s="125">
        <f t="shared" si="19"/>
        <v>438.88</v>
      </c>
      <c r="F177" s="85">
        <v>270.72596898385154</v>
      </c>
      <c r="G177" s="86">
        <v>307.32440830833218</v>
      </c>
      <c r="H177" s="86">
        <v>289.55210202477559</v>
      </c>
      <c r="I177" s="86">
        <v>717.13168615699658</v>
      </c>
      <c r="J177" s="86">
        <v>265.36322680006651</v>
      </c>
      <c r="K177" s="86">
        <v>353.4475077165522</v>
      </c>
      <c r="L177" s="86">
        <v>243.190755434538</v>
      </c>
      <c r="M177" s="86">
        <v>232.601132967464</v>
      </c>
      <c r="N177" s="86">
        <v>262.79584612130691</v>
      </c>
      <c r="O177" s="86">
        <v>284.65741848226293</v>
      </c>
      <c r="P177" s="86">
        <v>277.44266061498956</v>
      </c>
      <c r="Q177" s="86">
        <v>249.70594145513434</v>
      </c>
      <c r="R177" s="86"/>
      <c r="S177" s="86"/>
      <c r="T177" s="86">
        <v>295.25193108355012</v>
      </c>
      <c r="U177" s="86">
        <v>201.81864400266267</v>
      </c>
      <c r="V177" s="86">
        <v>271.38095301634439</v>
      </c>
      <c r="W177" s="86">
        <v>310.94306169737655</v>
      </c>
      <c r="X177" s="86">
        <v>297.3626604525312</v>
      </c>
      <c r="Y177" s="86">
        <v>233.94483644392182</v>
      </c>
      <c r="Z177" s="86">
        <v>260.42104665599567</v>
      </c>
      <c r="AA177" s="86">
        <v>415.92654913189079</v>
      </c>
      <c r="AB177" s="86">
        <v>268.12960835247742</v>
      </c>
      <c r="AC177" s="86">
        <v>262.4998066417586</v>
      </c>
      <c r="AD177" s="86">
        <v>285.87173467175148</v>
      </c>
      <c r="AE177" s="86">
        <v>259.74273851298977</v>
      </c>
      <c r="AF177" s="86">
        <v>270.1805479288837</v>
      </c>
      <c r="AG177" s="86">
        <v>205.40072075665094</v>
      </c>
      <c r="AH177" s="114"/>
    </row>
    <row r="178" spans="1:34" s="87" customFormat="1" ht="15.75" x14ac:dyDescent="0.25">
      <c r="A178" s="253" t="s">
        <v>422</v>
      </c>
      <c r="B178" s="254"/>
      <c r="C178" s="254"/>
      <c r="D178" s="254"/>
      <c r="E178" s="255"/>
      <c r="F178" s="85"/>
      <c r="G178" s="86"/>
      <c r="H178" s="86"/>
      <c r="I178" s="86"/>
      <c r="J178" s="86"/>
      <c r="K178" s="86"/>
      <c r="L178" s="86"/>
      <c r="M178" s="86"/>
      <c r="N178" s="86"/>
      <c r="O178" s="86"/>
      <c r="P178" s="86"/>
      <c r="Q178" s="86"/>
      <c r="R178" s="86"/>
      <c r="S178" s="86"/>
      <c r="T178" s="86"/>
      <c r="U178" s="86"/>
      <c r="V178" s="86"/>
      <c r="W178" s="86"/>
      <c r="X178" s="86"/>
      <c r="Y178" s="86"/>
      <c r="Z178" s="86"/>
      <c r="AA178" s="86"/>
      <c r="AB178" s="86"/>
      <c r="AC178" s="86"/>
      <c r="AD178" s="86"/>
      <c r="AE178" s="86"/>
      <c r="AF178" s="86"/>
      <c r="AG178" s="86"/>
      <c r="AH178" s="114"/>
    </row>
    <row r="179" spans="1:34" s="87" customFormat="1" ht="105" x14ac:dyDescent="0.2">
      <c r="A179" s="115" t="s">
        <v>594</v>
      </c>
      <c r="B179" s="89" t="str">
        <f>[1]СВОД!B247</f>
        <v>1 услуга</v>
      </c>
      <c r="C179" s="89">
        <v>177.77</v>
      </c>
      <c r="D179" s="125">
        <v>225</v>
      </c>
      <c r="E179" s="125">
        <f>D179*1.04</f>
        <v>234</v>
      </c>
      <c r="F179" s="85">
        <v>135.35804668264817</v>
      </c>
      <c r="G179" s="86">
        <v>153.66220415416609</v>
      </c>
      <c r="H179" s="86">
        <v>146.5513502522613</v>
      </c>
      <c r="I179" s="86">
        <v>358.56584307849829</v>
      </c>
      <c r="J179" s="86">
        <v>130.24883929470772</v>
      </c>
      <c r="K179" s="86">
        <v>176.7237538582761</v>
      </c>
      <c r="L179" s="86">
        <v>121.595377717269</v>
      </c>
      <c r="M179" s="86">
        <v>116.300566483732</v>
      </c>
      <c r="N179" s="86">
        <v>131.39792306065345</v>
      </c>
      <c r="O179" s="86">
        <v>142.32870924113146</v>
      </c>
      <c r="P179" s="86">
        <v>136.51006856078061</v>
      </c>
      <c r="Q179" s="86">
        <v>124.85297072756717</v>
      </c>
      <c r="R179" s="86"/>
      <c r="S179" s="86"/>
      <c r="T179" s="86">
        <v>147.62596554177506</v>
      </c>
      <c r="U179" s="86">
        <v>100.90932200133133</v>
      </c>
      <c r="V179" s="86">
        <v>135.6904765081722</v>
      </c>
      <c r="W179" s="86">
        <v>155.47153084868827</v>
      </c>
      <c r="X179" s="86">
        <v>148.6813302262656</v>
      </c>
      <c r="Y179" s="86">
        <v>116.97241822196091</v>
      </c>
      <c r="Z179" s="86">
        <v>130.21052332799783</v>
      </c>
      <c r="AA179" s="86">
        <v>207.9632745659454</v>
      </c>
      <c r="AB179" s="86"/>
      <c r="AC179" s="86">
        <v>131.2499033208793</v>
      </c>
      <c r="AD179" s="86">
        <v>142.93586733587574</v>
      </c>
      <c r="AE179" s="86">
        <v>129.87132006545554</v>
      </c>
      <c r="AF179" s="86">
        <v>135.09027396444185</v>
      </c>
      <c r="AG179" s="86"/>
      <c r="AH179" s="114"/>
    </row>
    <row r="180" spans="1:34" s="87" customFormat="1" ht="60" x14ac:dyDescent="0.2">
      <c r="A180" s="115" t="s">
        <v>595</v>
      </c>
      <c r="B180" s="89" t="str">
        <f>[1]СВОД!B248</f>
        <v>1 услуга</v>
      </c>
      <c r="C180" s="89">
        <v>177.77</v>
      </c>
      <c r="D180" s="125">
        <v>225</v>
      </c>
      <c r="E180" s="125">
        <f>D180*1.04</f>
        <v>234</v>
      </c>
      <c r="F180" s="85">
        <v>135.35804668264817</v>
      </c>
      <c r="G180" s="86">
        <v>153.66220415416609</v>
      </c>
      <c r="H180" s="86">
        <v>144.7760510123878</v>
      </c>
      <c r="I180" s="86">
        <v>358.56584307849829</v>
      </c>
      <c r="J180" s="86">
        <v>130.24883929470772</v>
      </c>
      <c r="K180" s="86">
        <v>176.7237538582761</v>
      </c>
      <c r="L180" s="86">
        <v>118.47465859256249</v>
      </c>
      <c r="M180" s="86"/>
      <c r="N180" s="86">
        <v>131.39792306065345</v>
      </c>
      <c r="O180" s="86">
        <v>142.32870924113146</v>
      </c>
      <c r="P180" s="86">
        <v>138.72133030749478</v>
      </c>
      <c r="Q180" s="86">
        <v>124.85297072756717</v>
      </c>
      <c r="R180" s="86"/>
      <c r="S180" s="86"/>
      <c r="T180" s="86">
        <v>147.62596554177506</v>
      </c>
      <c r="U180" s="86">
        <v>100.90932200133133</v>
      </c>
      <c r="V180" s="86">
        <v>135.6904765081722</v>
      </c>
      <c r="W180" s="86">
        <v>155.47153084868827</v>
      </c>
      <c r="X180" s="86">
        <v>148.6813302262656</v>
      </c>
      <c r="Y180" s="86">
        <v>116.97241822196091</v>
      </c>
      <c r="Z180" s="86">
        <v>130.21052332799783</v>
      </c>
      <c r="AA180" s="86">
        <v>207.9632745659454</v>
      </c>
      <c r="AB180" s="86">
        <v>134.06480417623871</v>
      </c>
      <c r="AC180" s="86">
        <v>131.2499033208793</v>
      </c>
      <c r="AD180" s="86">
        <v>142.93586733587574</v>
      </c>
      <c r="AE180" s="86">
        <v>129.30003159454623</v>
      </c>
      <c r="AF180" s="86">
        <v>135.09027396444185</v>
      </c>
      <c r="AG180" s="86"/>
      <c r="AH180" s="114"/>
    </row>
    <row r="181" spans="1:34" s="87" customFormat="1" ht="15.75" x14ac:dyDescent="0.25">
      <c r="A181" s="253" t="str">
        <f>[1]СВОД!A249</f>
        <v>Социально-правовые услуги</v>
      </c>
      <c r="B181" s="254"/>
      <c r="C181" s="254"/>
      <c r="D181" s="254"/>
      <c r="E181" s="255"/>
      <c r="F181" s="85"/>
      <c r="G181" s="86"/>
      <c r="H181" s="86"/>
      <c r="I181" s="86"/>
      <c r="J181" s="86"/>
      <c r="K181" s="86"/>
      <c r="L181" s="86"/>
      <c r="M181" s="86"/>
      <c r="N181" s="86"/>
      <c r="O181" s="86"/>
      <c r="P181" s="86"/>
      <c r="Q181" s="86"/>
      <c r="R181" s="86"/>
      <c r="S181" s="86"/>
      <c r="T181" s="86"/>
      <c r="U181" s="86"/>
      <c r="V181" s="86"/>
      <c r="W181" s="86"/>
      <c r="X181" s="86"/>
      <c r="Y181" s="86"/>
      <c r="Z181" s="86"/>
      <c r="AA181" s="86"/>
      <c r="AB181" s="86"/>
      <c r="AC181" s="86"/>
      <c r="AD181" s="86"/>
      <c r="AE181" s="86"/>
      <c r="AF181" s="86"/>
      <c r="AG181" s="86"/>
      <c r="AH181" s="114"/>
    </row>
    <row r="182" spans="1:34" s="87" customFormat="1" ht="45" x14ac:dyDescent="0.2">
      <c r="A182" s="115" t="s">
        <v>441</v>
      </c>
      <c r="B182" s="89" t="str">
        <f>[1]СВОД!B250</f>
        <v>1 услуга</v>
      </c>
      <c r="C182" s="89">
        <v>198.93</v>
      </c>
      <c r="D182" s="125">
        <v>252</v>
      </c>
      <c r="E182" s="125">
        <f>D182*1.04</f>
        <v>262.08</v>
      </c>
      <c r="F182" s="85">
        <v>198.7059851540856</v>
      </c>
      <c r="G182" s="86">
        <v>153.66220415416609</v>
      </c>
      <c r="H182" s="86">
        <v>201.73773139101226</v>
      </c>
      <c r="I182" s="86">
        <v>392.53522645480643</v>
      </c>
      <c r="J182" s="86">
        <v>130.24883929470772</v>
      </c>
      <c r="K182" s="86">
        <v>176.7237538582761</v>
      </c>
      <c r="L182" s="86">
        <v>121.60491535768919</v>
      </c>
      <c r="M182" s="86"/>
      <c r="N182" s="86">
        <v>119.15413230062826</v>
      </c>
      <c r="O182" s="86">
        <v>127.39633630256181</v>
      </c>
      <c r="P182" s="86">
        <v>173.92081487605731</v>
      </c>
      <c r="Q182" s="86">
        <v>126.20224374165912</v>
      </c>
      <c r="R182" s="86"/>
      <c r="S182" s="86"/>
      <c r="T182" s="86">
        <v>138.5627862623858</v>
      </c>
      <c r="U182" s="86">
        <v>102.00843092178079</v>
      </c>
      <c r="V182" s="86">
        <v>195.64446535243258</v>
      </c>
      <c r="W182" s="86">
        <v>184.27033275115517</v>
      </c>
      <c r="X182" s="86">
        <v>152.97169873991817</v>
      </c>
      <c r="Y182" s="86">
        <v>117.7</v>
      </c>
      <c r="Z182" s="86">
        <v>166.49579126419954</v>
      </c>
      <c r="AA182" s="86">
        <v>224.26023155106066</v>
      </c>
      <c r="AB182" s="86">
        <v>153.12107475095581</v>
      </c>
      <c r="AC182" s="86">
        <v>133.64540000338411</v>
      </c>
      <c r="AD182" s="86">
        <v>238.69363402885318</v>
      </c>
      <c r="AE182" s="86">
        <v>129.30003159454623</v>
      </c>
      <c r="AF182" s="86">
        <v>135.09027396444185</v>
      </c>
      <c r="AG182" s="86">
        <v>120.29778813404624</v>
      </c>
      <c r="AH182" s="114"/>
    </row>
    <row r="183" spans="1:34" s="87" customFormat="1" ht="30" x14ac:dyDescent="0.2">
      <c r="A183" s="115" t="s">
        <v>442</v>
      </c>
      <c r="B183" s="89" t="s">
        <v>596</v>
      </c>
      <c r="C183" s="89">
        <v>198.93</v>
      </c>
      <c r="D183" s="125">
        <v>252</v>
      </c>
      <c r="E183" s="125">
        <f>D183*1.04</f>
        <v>262.08</v>
      </c>
      <c r="F183" s="85">
        <v>198.7059851540856</v>
      </c>
      <c r="G183" s="86">
        <v>153.66220415416609</v>
      </c>
      <c r="H183" s="86">
        <v>201.73773139101226</v>
      </c>
      <c r="I183" s="86">
        <v>392.53522645480643</v>
      </c>
      <c r="J183" s="86">
        <v>130.24883929470772</v>
      </c>
      <c r="K183" s="86">
        <v>176.7237538582761</v>
      </c>
      <c r="L183" s="86">
        <v>121.60491535768919</v>
      </c>
      <c r="M183" s="86"/>
      <c r="N183" s="86">
        <v>119.15413230062826</v>
      </c>
      <c r="O183" s="86">
        <v>127.39633630256181</v>
      </c>
      <c r="P183" s="86">
        <v>173.92081487605731</v>
      </c>
      <c r="Q183" s="86">
        <v>126.20224374165912</v>
      </c>
      <c r="R183" s="86"/>
      <c r="S183" s="86"/>
      <c r="T183" s="86">
        <v>138.5627862623858</v>
      </c>
      <c r="U183" s="86">
        <v>102.00843092178079</v>
      </c>
      <c r="V183" s="86">
        <v>195.64446535243258</v>
      </c>
      <c r="W183" s="86">
        <v>184.27033275115517</v>
      </c>
      <c r="X183" s="86">
        <v>152.97169873991817</v>
      </c>
      <c r="Y183" s="86">
        <v>117.7</v>
      </c>
      <c r="Z183" s="86">
        <v>166.49579126419954</v>
      </c>
      <c r="AA183" s="86">
        <v>224.26023155106066</v>
      </c>
      <c r="AB183" s="86">
        <v>153.12107475095581</v>
      </c>
      <c r="AC183" s="86">
        <v>133.64540000338411</v>
      </c>
      <c r="AD183" s="86">
        <v>238.69363402885318</v>
      </c>
      <c r="AE183" s="86">
        <v>129.30003159454623</v>
      </c>
      <c r="AF183" s="86">
        <v>135.09027396444185</v>
      </c>
      <c r="AG183" s="86">
        <v>120.29778813404624</v>
      </c>
      <c r="AH183" s="114"/>
    </row>
    <row r="184" spans="1:34" ht="53.25" customHeight="1" x14ac:dyDescent="0.25">
      <c r="A184" s="246" t="s">
        <v>597</v>
      </c>
      <c r="B184" s="247"/>
      <c r="C184" s="247"/>
      <c r="D184" s="247"/>
      <c r="E184" s="248"/>
      <c r="F184" s="116"/>
      <c r="G184" s="116"/>
      <c r="H184" s="116"/>
      <c r="I184" s="116"/>
      <c r="J184" s="116"/>
      <c r="K184" s="116"/>
      <c r="L184" s="116"/>
      <c r="M184" s="116"/>
      <c r="N184" s="116"/>
      <c r="O184" s="116"/>
      <c r="P184" s="116"/>
      <c r="Q184" s="116"/>
      <c r="R184" s="116"/>
      <c r="S184" s="116"/>
      <c r="T184" s="116"/>
      <c r="U184" s="116"/>
      <c r="V184" s="116"/>
      <c r="W184" s="116"/>
      <c r="X184" s="116"/>
      <c r="Y184" s="116"/>
      <c r="Z184" s="116"/>
      <c r="AA184" s="116"/>
      <c r="AB184" s="116"/>
      <c r="AC184" s="116"/>
      <c r="AD184" s="116"/>
      <c r="AE184" s="116"/>
      <c r="AF184" s="116"/>
      <c r="AG184" s="116"/>
      <c r="AH184" s="116"/>
    </row>
    <row r="185" spans="1:34" ht="120" x14ac:dyDescent="0.2">
      <c r="A185" s="69" t="s">
        <v>444</v>
      </c>
      <c r="B185" s="46" t="s">
        <v>32</v>
      </c>
      <c r="C185" s="75"/>
      <c r="D185" s="117">
        <v>225</v>
      </c>
      <c r="E185" s="117">
        <f>D185*1.04</f>
        <v>234</v>
      </c>
    </row>
    <row r="186" spans="1:34" ht="105" x14ac:dyDescent="0.2">
      <c r="A186" s="69" t="s">
        <v>445</v>
      </c>
      <c r="B186" s="46" t="s">
        <v>32</v>
      </c>
      <c r="C186" s="75"/>
      <c r="D186" s="117">
        <v>225</v>
      </c>
      <c r="E186" s="117">
        <f>D186*1.04</f>
        <v>234</v>
      </c>
    </row>
  </sheetData>
  <mergeCells count="59">
    <mergeCell ref="Y3:Y4"/>
    <mergeCell ref="X3:X4"/>
    <mergeCell ref="W3:W4"/>
    <mergeCell ref="I3:I4"/>
    <mergeCell ref="J3:J4"/>
    <mergeCell ref="K3:K4"/>
    <mergeCell ref="R3:R4"/>
    <mergeCell ref="N3:N4"/>
    <mergeCell ref="L3:L4"/>
    <mergeCell ref="O3:O4"/>
    <mergeCell ref="P3:P4"/>
    <mergeCell ref="M3:M4"/>
    <mergeCell ref="Q3:Q4"/>
    <mergeCell ref="S3:S4"/>
    <mergeCell ref="V3:V4"/>
    <mergeCell ref="AF3:AF4"/>
    <mergeCell ref="AG3:AG4"/>
    <mergeCell ref="Z3:Z4"/>
    <mergeCell ref="AA3:AA4"/>
    <mergeCell ref="AB3:AB4"/>
    <mergeCell ref="AC3:AC4"/>
    <mergeCell ref="AD3:AD4"/>
    <mergeCell ref="AE3:AE4"/>
    <mergeCell ref="H3:H4"/>
    <mergeCell ref="D3:D4"/>
    <mergeCell ref="C3:C4"/>
    <mergeCell ref="T3:T4"/>
    <mergeCell ref="U3:U4"/>
    <mergeCell ref="A51:E51"/>
    <mergeCell ref="A56:E56"/>
    <mergeCell ref="A88:E88"/>
    <mergeCell ref="A102:E102"/>
    <mergeCell ref="G3:G4"/>
    <mergeCell ref="A18:E18"/>
    <mergeCell ref="A26:E26"/>
    <mergeCell ref="A40:E40"/>
    <mergeCell ref="A46:E46"/>
    <mergeCell ref="A50:E50"/>
    <mergeCell ref="A5:C5"/>
    <mergeCell ref="A3:A4"/>
    <mergeCell ref="B3:B4"/>
    <mergeCell ref="F3:F4"/>
    <mergeCell ref="E3:E4"/>
    <mergeCell ref="A184:E184"/>
    <mergeCell ref="A1:E1"/>
    <mergeCell ref="A7:E7"/>
    <mergeCell ref="A8:E8"/>
    <mergeCell ref="A124:E124"/>
    <mergeCell ref="A168:E168"/>
    <mergeCell ref="A173:E173"/>
    <mergeCell ref="A178:E178"/>
    <mergeCell ref="A181:E181"/>
    <mergeCell ref="A110:E110"/>
    <mergeCell ref="A112:E112"/>
    <mergeCell ref="A115:E115"/>
    <mergeCell ref="A119:E119"/>
    <mergeCell ref="A120:E120"/>
    <mergeCell ref="A6:C6"/>
    <mergeCell ref="A103:A104"/>
  </mergeCells>
  <phoneticPr fontId="15" type="noConversion"/>
  <conditionalFormatting sqref="H52:Y52 F53:Y54 F51:G52 F3:H4 Z3:AG4 F5:AG5 C3 D89:E89 D57:E57 D59:D85 D101:E101 I55:Y109 F55:G109 Z51:AE109 AF52:AG109 D103:E103 F111:G114 I111:AG114 I116:AG118 F116:G118 I179:AG182 F179:G182 F120:G177 I120:AG177 B9:E17 B19:E25 B30:E39 B42:E45 B47:E49 E58:E86 D90:D99 E90:E101 D104:D107 E104:E109 D125:E167 D169:E172 D174:E177 D179:E180">
    <cfRule type="containsText" dxfId="207" priority="51" stopIfTrue="1" operator="containsText" text="#ЗНАЧ!">
      <formula>NOT(ISERROR(SEARCH("#ЗНАЧ!",B3)))</formula>
    </cfRule>
    <cfRule type="containsText" dxfId="206" priority="52" stopIfTrue="1" operator="containsText" text="#ЗНАЧ!">
      <formula>NOT(ISERROR(SEARCH("#ЗНАЧ!",B3)))</formula>
    </cfRule>
  </conditionalFormatting>
  <conditionalFormatting sqref="F5">
    <cfRule type="containsText" dxfId="205" priority="39" stopIfTrue="1" operator="containsText" text="#ЗНАЧ!">
      <formula>NOT(ISERROR(SEARCH("#ЗНАЧ!",F5)))</formula>
    </cfRule>
    <cfRule type="containsText" dxfId="204" priority="40" stopIfTrue="1" operator="containsText" text="#ЗНАЧ!">
      <formula>NOT(ISERROR(SEARCH("#ЗНАЧ!",F5)))</formula>
    </cfRule>
  </conditionalFormatting>
  <conditionalFormatting sqref="B3">
    <cfRule type="containsText" dxfId="203" priority="37" stopIfTrue="1" operator="containsText" text="#ЗНАЧ!">
      <formula>NOT(ISERROR(SEARCH("#ЗНАЧ!",B3)))</formula>
    </cfRule>
    <cfRule type="containsText" dxfId="202" priority="38" stopIfTrue="1" operator="containsText" text="#ЗНАЧ!">
      <formula>NOT(ISERROR(SEARCH("#ЗНАЧ!",B3)))</formula>
    </cfRule>
  </conditionalFormatting>
  <conditionalFormatting sqref="B27:C29 D182:E182 D52:E52 D53:D54 E53:E55 D121:E123 E183">
    <cfRule type="containsText" dxfId="201" priority="35" stopIfTrue="1" operator="containsText" text="#ЗНАЧ!">
      <formula>NOT(ISERROR(SEARCH("#ЗНАЧ!",B27)))</formula>
    </cfRule>
    <cfRule type="containsText" dxfId="200" priority="36" stopIfTrue="1" operator="containsText" text="#ЗНАЧ!">
      <formula>NOT(ISERROR(SEARCH("#ЗНАЧ!",B27)))</formula>
    </cfRule>
  </conditionalFormatting>
  <conditionalFormatting sqref="D3">
    <cfRule type="containsText" dxfId="199" priority="33" stopIfTrue="1" operator="containsText" text="#ЗНАЧ!">
      <formula>NOT(ISERROR(SEARCH("#ЗНАЧ!",D3)))</formula>
    </cfRule>
    <cfRule type="containsText" dxfId="198" priority="34" stopIfTrue="1" operator="containsText" text="#ЗНАЧ!">
      <formula>NOT(ISERROR(SEARCH("#ЗНАЧ!",D3)))</formula>
    </cfRule>
  </conditionalFormatting>
  <conditionalFormatting sqref="D27:E29">
    <cfRule type="containsText" dxfId="197" priority="31" stopIfTrue="1" operator="containsText" text="#ЗНАЧ!">
      <formula>NOT(ISERROR(SEARCH("#ЗНАЧ!",D27)))</formula>
    </cfRule>
    <cfRule type="containsText" dxfId="196" priority="32" stopIfTrue="1" operator="containsText" text="#ЗНАЧ!">
      <formula>NOT(ISERROR(SEARCH("#ЗНАЧ!",D27)))</formula>
    </cfRule>
  </conditionalFormatting>
  <conditionalFormatting sqref="D55">
    <cfRule type="containsText" dxfId="195" priority="27" stopIfTrue="1" operator="containsText" text="#ЗНАЧ!">
      <formula>NOT(ISERROR(SEARCH("#ЗНАЧ!",D55)))</formula>
    </cfRule>
    <cfRule type="containsText" dxfId="194" priority="28" stopIfTrue="1" operator="containsText" text="#ЗНАЧ!">
      <formula>NOT(ISERROR(SEARCH("#ЗНАЧ!",D55)))</formula>
    </cfRule>
  </conditionalFormatting>
  <conditionalFormatting sqref="D58">
    <cfRule type="containsText" dxfId="193" priority="25" stopIfTrue="1" operator="containsText" text="#ЗНАЧ!">
      <formula>NOT(ISERROR(SEARCH("#ЗНАЧ!",D58)))</formula>
    </cfRule>
    <cfRule type="containsText" dxfId="192" priority="26" stopIfTrue="1" operator="containsText" text="#ЗНАЧ!">
      <formula>NOT(ISERROR(SEARCH("#ЗНАЧ!",D58)))</formula>
    </cfRule>
  </conditionalFormatting>
  <conditionalFormatting sqref="D86">
    <cfRule type="containsText" dxfId="191" priority="23" stopIfTrue="1" operator="containsText" text="#ЗНАЧ!">
      <formula>NOT(ISERROR(SEARCH("#ЗНАЧ!",D86)))</formula>
    </cfRule>
    <cfRule type="containsText" dxfId="190" priority="24" stopIfTrue="1" operator="containsText" text="#ЗНАЧ!">
      <formula>NOT(ISERROR(SEARCH("#ЗНАЧ!",D86)))</formula>
    </cfRule>
  </conditionalFormatting>
  <conditionalFormatting sqref="D100">
    <cfRule type="containsText" dxfId="189" priority="21" stopIfTrue="1" operator="containsText" text="#ЗНАЧ!">
      <formula>NOT(ISERROR(SEARCH("#ЗНАЧ!",D100)))</formula>
    </cfRule>
    <cfRule type="containsText" dxfId="188" priority="22" stopIfTrue="1" operator="containsText" text="#ЗНАЧ!">
      <formula>NOT(ISERROR(SEARCH("#ЗНАЧ!",D100)))</formula>
    </cfRule>
  </conditionalFormatting>
  <conditionalFormatting sqref="D108:D109 D111:E111">
    <cfRule type="containsText" dxfId="187" priority="19" stopIfTrue="1" operator="containsText" text="#ЗНАЧ!">
      <formula>NOT(ISERROR(SEARCH("#ЗНАЧ!",D108)))</formula>
    </cfRule>
    <cfRule type="containsText" dxfId="186" priority="20" stopIfTrue="1" operator="containsText" text="#ЗНАЧ!">
      <formula>NOT(ISERROR(SEARCH("#ЗНАЧ!",D108)))</formula>
    </cfRule>
  </conditionalFormatting>
  <conditionalFormatting sqref="D113:E113 E114">
    <cfRule type="containsText" dxfId="185" priority="17" stopIfTrue="1" operator="containsText" text="#ЗНАЧ!">
      <formula>NOT(ISERROR(SEARCH("#ЗНАЧ!",D113)))</formula>
    </cfRule>
    <cfRule type="containsText" dxfId="184" priority="18" stopIfTrue="1" operator="containsText" text="#ЗНАЧ!">
      <formula>NOT(ISERROR(SEARCH("#ЗНАЧ!",D113)))</formula>
    </cfRule>
  </conditionalFormatting>
  <conditionalFormatting sqref="D114">
    <cfRule type="containsText" dxfId="183" priority="15" stopIfTrue="1" operator="containsText" text="#ЗНАЧ!">
      <formula>NOT(ISERROR(SEARCH("#ЗНАЧ!",D114)))</formula>
    </cfRule>
    <cfRule type="containsText" dxfId="182" priority="16" stopIfTrue="1" operator="containsText" text="#ЗНАЧ!">
      <formula>NOT(ISERROR(SEARCH("#ЗНАЧ!",D114)))</formula>
    </cfRule>
  </conditionalFormatting>
  <conditionalFormatting sqref="D116:E116 E117:E118">
    <cfRule type="containsText" dxfId="181" priority="13" stopIfTrue="1" operator="containsText" text="#ЗНАЧ!">
      <formula>NOT(ISERROR(SEARCH("#ЗНАЧ!",D116)))</formula>
    </cfRule>
    <cfRule type="containsText" dxfId="180" priority="14" stopIfTrue="1" operator="containsText" text="#ЗНАЧ!">
      <formula>NOT(ISERROR(SEARCH("#ЗНАЧ!",D116)))</formula>
    </cfRule>
  </conditionalFormatting>
  <conditionalFormatting sqref="D117:D118">
    <cfRule type="containsText" dxfId="179" priority="11" stopIfTrue="1" operator="containsText" text="#ЗНАЧ!">
      <formula>NOT(ISERROR(SEARCH("#ЗНАЧ!",D117)))</formula>
    </cfRule>
    <cfRule type="containsText" dxfId="178" priority="12" stopIfTrue="1" operator="containsText" text="#ЗНАЧ!">
      <formula>NOT(ISERROR(SEARCH("#ЗНАЧ!",D117)))</formula>
    </cfRule>
  </conditionalFormatting>
  <conditionalFormatting sqref="F178:G178 I178:AG178">
    <cfRule type="containsText" dxfId="177" priority="7" stopIfTrue="1" operator="containsText" text="#ЗНАЧ!">
      <formula>NOT(ISERROR(SEARCH("#ЗНАЧ!",F178)))</formula>
    </cfRule>
    <cfRule type="containsText" dxfId="176" priority="8" stopIfTrue="1" operator="containsText" text="#ЗНАЧ!">
      <formula>NOT(ISERROR(SEARCH("#ЗНАЧ!",F178)))</formula>
    </cfRule>
  </conditionalFormatting>
  <conditionalFormatting sqref="I183:AG183 F183:G183">
    <cfRule type="containsText" dxfId="175" priority="5" stopIfTrue="1" operator="containsText" text="#ЗНАЧ!">
      <formula>NOT(ISERROR(SEARCH("#ЗНАЧ!",F183)))</formula>
    </cfRule>
    <cfRule type="containsText" dxfId="174" priority="6" stopIfTrue="1" operator="containsText" text="#ЗНАЧ!">
      <formula>NOT(ISERROR(SEARCH("#ЗНАЧ!",F183)))</formula>
    </cfRule>
  </conditionalFormatting>
  <conditionalFormatting sqref="D183">
    <cfRule type="containsText" dxfId="173" priority="3" stopIfTrue="1" operator="containsText" text="#ЗНАЧ!">
      <formula>NOT(ISERROR(SEARCH("#ЗНАЧ!",D183)))</formula>
    </cfRule>
    <cfRule type="containsText" dxfId="172" priority="4" stopIfTrue="1" operator="containsText" text="#ЗНАЧ!">
      <formula>NOT(ISERROR(SEARCH("#ЗНАЧ!",D183)))</formula>
    </cfRule>
  </conditionalFormatting>
  <conditionalFormatting sqref="E3">
    <cfRule type="containsText" dxfId="171" priority="1" stopIfTrue="1" operator="containsText" text="#ЗНАЧ!">
      <formula>NOT(ISERROR(SEARCH("#ЗНАЧ!",E3)))</formula>
    </cfRule>
    <cfRule type="containsText" dxfId="170" priority="2" stopIfTrue="1" operator="containsText" text="#ЗНАЧ!">
      <formula>NOT(ISERROR(SEARCH("#ЗНАЧ!",E3)))</formula>
    </cfRule>
  </conditionalFormatting>
  <pageMargins left="0.23622047244094491" right="0.23622047244094491" top="0.74803149606299213" bottom="0.74803149606299213" header="0.31496062992125984" footer="0.31496062992125984"/>
  <pageSetup paperSize="9" scale="87" fitToHeight="7" orientation="portrait" r:id="rId1"/>
  <rowBreaks count="4" manualBreakCount="4">
    <brk id="15" max="25" man="1"/>
    <brk id="40" max="26" man="1"/>
    <brk id="49" max="25" man="1"/>
    <brk id="87" max="2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0"/>
  </sheetPr>
  <dimension ref="A1:AD610"/>
  <sheetViews>
    <sheetView view="pageBreakPreview" topLeftCell="A5" zoomScale="90" zoomScaleNormal="100" zoomScaleSheetLayoutView="90" workbookViewId="0">
      <selection activeCell="A15" sqref="A15"/>
    </sheetView>
  </sheetViews>
  <sheetFormatPr defaultRowHeight="15" outlineLevelRow="1" outlineLevelCol="1" x14ac:dyDescent="0.2"/>
  <cols>
    <col min="1" max="1" width="51.7109375" style="47" customWidth="1"/>
    <col min="2" max="2" width="19.85546875" style="47" customWidth="1"/>
    <col min="3" max="3" width="11.5703125" style="47" hidden="1" customWidth="1" outlineLevel="1"/>
    <col min="4" max="4" width="18.5703125" style="47" hidden="1" customWidth="1" outlineLevel="1"/>
    <col min="5" max="5" width="18.5703125" style="185" customWidth="1" collapsed="1"/>
    <col min="6" max="27" width="9.140625" style="47" hidden="1" customWidth="1" outlineLevel="1"/>
    <col min="28" max="28" width="29.140625" style="47" customWidth="1" collapsed="1"/>
    <col min="29" max="16384" width="9.140625" style="47"/>
  </cols>
  <sheetData>
    <row r="1" spans="1:29" ht="15.75" x14ac:dyDescent="0.25">
      <c r="A1" s="287"/>
      <c r="B1" s="287"/>
      <c r="C1" s="287"/>
      <c r="D1" s="287"/>
      <c r="E1" s="184"/>
    </row>
    <row r="3" spans="1:29" ht="63" customHeight="1" x14ac:dyDescent="0.2">
      <c r="A3" s="249" t="s">
        <v>764</v>
      </c>
      <c r="B3" s="249"/>
      <c r="C3" s="249"/>
      <c r="D3" s="249"/>
      <c r="E3" s="249"/>
    </row>
    <row r="4" spans="1:29" ht="36.75" customHeight="1" x14ac:dyDescent="0.2"/>
    <row r="5" spans="1:29" ht="15" customHeight="1" x14ac:dyDescent="0.2">
      <c r="A5" s="274" t="s">
        <v>0</v>
      </c>
      <c r="B5" s="274" t="s">
        <v>1</v>
      </c>
      <c r="C5" s="274" t="s">
        <v>322</v>
      </c>
      <c r="D5" s="274" t="s">
        <v>712</v>
      </c>
      <c r="E5" s="281" t="s">
        <v>712</v>
      </c>
      <c r="F5" s="295" t="s">
        <v>98</v>
      </c>
      <c r="G5" s="296" t="s">
        <v>99</v>
      </c>
      <c r="H5" s="296" t="s">
        <v>100</v>
      </c>
      <c r="I5" s="296" t="s">
        <v>101</v>
      </c>
      <c r="J5" s="296" t="s">
        <v>102</v>
      </c>
      <c r="K5" s="296" t="s">
        <v>103</v>
      </c>
      <c r="L5" s="296" t="s">
        <v>104</v>
      </c>
      <c r="M5" s="296" t="s">
        <v>105</v>
      </c>
      <c r="N5" s="296" t="s">
        <v>11</v>
      </c>
      <c r="O5" s="296" t="s">
        <v>106</v>
      </c>
      <c r="P5" s="296" t="s">
        <v>107</v>
      </c>
      <c r="Q5" s="296" t="s">
        <v>108</v>
      </c>
      <c r="R5" s="296" t="s">
        <v>13</v>
      </c>
      <c r="S5" s="296" t="s">
        <v>109</v>
      </c>
      <c r="T5" s="296" t="s">
        <v>15</v>
      </c>
      <c r="U5" s="296" t="s">
        <v>18</v>
      </c>
      <c r="V5" s="296" t="s">
        <v>20</v>
      </c>
      <c r="W5" s="276" t="s">
        <v>3</v>
      </c>
      <c r="X5" s="276" t="s">
        <v>4</v>
      </c>
      <c r="Y5" s="276" t="s">
        <v>21</v>
      </c>
      <c r="Z5" s="276" t="s">
        <v>23</v>
      </c>
      <c r="AA5" s="276" t="s">
        <v>110</v>
      </c>
    </row>
    <row r="6" spans="1:29" ht="44.25" customHeight="1" x14ac:dyDescent="0.2">
      <c r="A6" s="274"/>
      <c r="B6" s="274"/>
      <c r="C6" s="274"/>
      <c r="D6" s="274"/>
      <c r="E6" s="281"/>
      <c r="F6" s="295"/>
      <c r="G6" s="296"/>
      <c r="H6" s="296"/>
      <c r="I6" s="296"/>
      <c r="J6" s="296"/>
      <c r="K6" s="296"/>
      <c r="L6" s="296"/>
      <c r="M6" s="296"/>
      <c r="N6" s="296"/>
      <c r="O6" s="296"/>
      <c r="P6" s="296"/>
      <c r="Q6" s="296"/>
      <c r="R6" s="296"/>
      <c r="S6" s="296"/>
      <c r="T6" s="296"/>
      <c r="U6" s="296"/>
      <c r="V6" s="296"/>
      <c r="W6" s="265"/>
      <c r="X6" s="265"/>
      <c r="Y6" s="276"/>
      <c r="Z6" s="276"/>
      <c r="AA6" s="276"/>
    </row>
    <row r="7" spans="1:29" hidden="1" x14ac:dyDescent="0.2">
      <c r="A7" s="273" t="s">
        <v>318</v>
      </c>
      <c r="B7" s="273"/>
      <c r="C7" s="273"/>
      <c r="D7" s="165"/>
      <c r="E7" s="186"/>
      <c r="F7" s="45">
        <v>2.59</v>
      </c>
      <c r="G7" s="49">
        <v>2.15</v>
      </c>
      <c r="H7" s="49">
        <v>2.15</v>
      </c>
      <c r="I7" s="49">
        <v>1.63</v>
      </c>
      <c r="J7" s="49">
        <v>1.01</v>
      </c>
      <c r="K7" s="49">
        <v>1.72</v>
      </c>
      <c r="L7" s="49">
        <v>1.06</v>
      </c>
      <c r="M7" s="49">
        <v>1.55</v>
      </c>
      <c r="N7" s="49">
        <v>1.21</v>
      </c>
      <c r="O7" s="49">
        <v>1.96</v>
      </c>
      <c r="P7" s="49">
        <v>1.17</v>
      </c>
      <c r="Q7" s="49">
        <v>1.31</v>
      </c>
      <c r="R7" s="49">
        <v>1.1499999999999999</v>
      </c>
      <c r="S7" s="49">
        <v>1.1200000000000001</v>
      </c>
      <c r="T7" s="49">
        <v>1.05</v>
      </c>
      <c r="U7" s="49">
        <v>1.28</v>
      </c>
      <c r="V7" s="49">
        <v>1.1200000000000001</v>
      </c>
      <c r="W7" s="49">
        <v>0.78</v>
      </c>
      <c r="X7" s="49">
        <v>0.54</v>
      </c>
      <c r="Y7" s="49">
        <v>0.6</v>
      </c>
      <c r="Z7" s="49">
        <v>0.86</v>
      </c>
      <c r="AA7" s="49">
        <v>1.32</v>
      </c>
    </row>
    <row r="8" spans="1:29" ht="21.75" hidden="1" customHeight="1" x14ac:dyDescent="0.2">
      <c r="A8" s="263" t="s">
        <v>319</v>
      </c>
      <c r="B8" s="263"/>
      <c r="C8" s="263"/>
      <c r="D8" s="160"/>
      <c r="E8" s="187"/>
      <c r="F8" s="52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</row>
    <row r="9" spans="1:29" ht="150" customHeight="1" x14ac:dyDescent="0.25">
      <c r="A9" s="277" t="s">
        <v>766</v>
      </c>
      <c r="B9" s="277"/>
      <c r="C9" s="277"/>
      <c r="D9" s="277"/>
      <c r="E9" s="277"/>
      <c r="F9" s="52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</row>
    <row r="10" spans="1:29" ht="15.75" x14ac:dyDescent="0.25">
      <c r="A10" s="259" t="s">
        <v>78</v>
      </c>
      <c r="B10" s="259"/>
      <c r="C10" s="259"/>
      <c r="D10" s="259"/>
      <c r="E10" s="259"/>
      <c r="F10" s="38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53"/>
      <c r="X10" s="53"/>
      <c r="Y10" s="37"/>
      <c r="Z10" s="37"/>
      <c r="AA10" s="37"/>
    </row>
    <row r="11" spans="1:29" ht="119.25" customHeight="1" x14ac:dyDescent="0.2">
      <c r="A11" s="194" t="s">
        <v>491</v>
      </c>
      <c r="B11" s="166" t="s">
        <v>492</v>
      </c>
      <c r="C11" s="166">
        <v>101.18</v>
      </c>
      <c r="D11" s="103">
        <v>1147</v>
      </c>
      <c r="E11" s="176">
        <f t="shared" ref="E11:E57" si="0">D11*1.04</f>
        <v>1192.8800000000001</v>
      </c>
      <c r="F11" s="38">
        <v>100.71282696827895</v>
      </c>
      <c r="G11" s="37">
        <v>58.684881008660639</v>
      </c>
      <c r="H11" s="37">
        <v>18.520724877624705</v>
      </c>
      <c r="I11" s="37">
        <v>43.512869539045113</v>
      </c>
      <c r="J11" s="37">
        <v>40.200859681609572</v>
      </c>
      <c r="K11" s="37">
        <v>49.913073885263927</v>
      </c>
      <c r="L11" s="37">
        <v>124.30879678983581</v>
      </c>
      <c r="M11" s="37">
        <v>96.985159112558122</v>
      </c>
      <c r="N11" s="37">
        <v>139.8812576129246</v>
      </c>
      <c r="O11" s="37">
        <v>23.11852861906771</v>
      </c>
      <c r="P11" s="37">
        <v>16.683623862951585</v>
      </c>
      <c r="Q11" s="37">
        <v>44.510790465862158</v>
      </c>
      <c r="R11" s="37">
        <v>23.617575354609922</v>
      </c>
      <c r="S11" s="37">
        <v>46.380999704179146</v>
      </c>
      <c r="T11" s="37">
        <v>60.652930782510602</v>
      </c>
      <c r="U11" s="37">
        <v>62.653864921385846</v>
      </c>
      <c r="V11" s="37">
        <v>56.654010238907844</v>
      </c>
      <c r="W11" s="37">
        <v>45.344586643583156</v>
      </c>
      <c r="X11" s="37">
        <v>46.945032753780225</v>
      </c>
      <c r="Y11" s="37">
        <v>105.99708971274342</v>
      </c>
      <c r="Z11" s="37">
        <v>56.473856731691718</v>
      </c>
      <c r="AA11" s="37">
        <v>141.4528442062421</v>
      </c>
    </row>
    <row r="12" spans="1:29" ht="51" hidden="1" customHeight="1" x14ac:dyDescent="0.2">
      <c r="A12" s="195" t="s">
        <v>745</v>
      </c>
      <c r="B12" s="148"/>
      <c r="C12" s="148"/>
      <c r="D12" s="173">
        <f>111*1.15*5</f>
        <v>638.25</v>
      </c>
      <c r="E12" s="176">
        <f t="shared" si="0"/>
        <v>663.78</v>
      </c>
      <c r="F12" s="38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</row>
    <row r="13" spans="1:29" ht="15" hidden="1" customHeight="1" x14ac:dyDescent="0.2">
      <c r="A13" s="196" t="s">
        <v>114</v>
      </c>
      <c r="B13" s="148"/>
      <c r="C13" s="148"/>
      <c r="D13" s="148"/>
      <c r="E13" s="176">
        <f t="shared" si="0"/>
        <v>0</v>
      </c>
      <c r="F13" s="38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</row>
    <row r="14" spans="1:29" s="152" customFormat="1" ht="16.5" hidden="1" customHeight="1" x14ac:dyDescent="0.25">
      <c r="A14" s="197" t="s">
        <v>115</v>
      </c>
      <c r="B14" s="149" t="s">
        <v>116</v>
      </c>
      <c r="C14" s="149">
        <v>125.54</v>
      </c>
      <c r="D14" s="174">
        <f>ROUND(C14*1.1,0)*1.5</f>
        <v>207</v>
      </c>
      <c r="E14" s="176">
        <f t="shared" si="0"/>
        <v>215.28</v>
      </c>
      <c r="F14" s="150">
        <v>119.04761904761905</v>
      </c>
      <c r="G14" s="151">
        <v>163.6904761904762</v>
      </c>
      <c r="H14" s="151">
        <v>252.23214285714283</v>
      </c>
      <c r="I14" s="151">
        <v>176.5625</v>
      </c>
      <c r="J14" s="151">
        <v>123.51190476190476</v>
      </c>
      <c r="K14" s="151">
        <v>161.69136904761905</v>
      </c>
      <c r="L14" s="151">
        <v>74.404761904761912</v>
      </c>
      <c r="M14" s="151">
        <v>161.74107142857142</v>
      </c>
      <c r="N14" s="151">
        <v>104.16666666666666</v>
      </c>
      <c r="O14" s="151">
        <v>71.666666666666671</v>
      </c>
      <c r="P14" s="151">
        <v>86.30952380952381</v>
      </c>
      <c r="Q14" s="151">
        <v>78.86904761904762</v>
      </c>
      <c r="R14" s="151">
        <v>161.68154761904762</v>
      </c>
      <c r="S14" s="151">
        <v>39.43452380952381</v>
      </c>
      <c r="T14" s="151">
        <v>178.57142857142858</v>
      </c>
      <c r="U14" s="151">
        <v>104.16666666666666</v>
      </c>
      <c r="V14" s="151">
        <v>194.20520833333336</v>
      </c>
      <c r="W14" s="151">
        <v>83.333333333333343</v>
      </c>
      <c r="X14" s="151">
        <v>40.3125</v>
      </c>
      <c r="Y14" s="151">
        <v>60.56547619047619</v>
      </c>
      <c r="Z14" s="151">
        <v>164.0498511904762</v>
      </c>
      <c r="AA14" s="151">
        <v>161.74107142857142</v>
      </c>
    </row>
    <row r="15" spans="1:29" ht="15" hidden="1" customHeight="1" x14ac:dyDescent="0.2">
      <c r="A15" s="196" t="s">
        <v>117</v>
      </c>
      <c r="B15" s="148" t="s">
        <v>116</v>
      </c>
      <c r="C15" s="148">
        <v>50.15</v>
      </c>
      <c r="D15" s="173">
        <f t="shared" ref="D15:D29" si="1">ROUND(C15*1.1,0)</f>
        <v>55</v>
      </c>
      <c r="E15" s="176">
        <f t="shared" si="0"/>
        <v>57.2</v>
      </c>
      <c r="F15" s="38">
        <v>22.321428571428573</v>
      </c>
      <c r="G15" s="37">
        <v>81.979166666666657</v>
      </c>
      <c r="H15" s="37">
        <v>79.166666666666671</v>
      </c>
      <c r="I15" s="37">
        <v>76.071428571428569</v>
      </c>
      <c r="J15" s="37">
        <v>44.642857142857146</v>
      </c>
      <c r="K15" s="37">
        <v>76.073065476190479</v>
      </c>
      <c r="L15" s="37">
        <v>22.321428571428573</v>
      </c>
      <c r="M15" s="37">
        <v>76.13095238095238</v>
      </c>
      <c r="N15" s="37">
        <v>44.642857142857146</v>
      </c>
      <c r="O15" s="37">
        <v>26.708333333333336</v>
      </c>
      <c r="P15" s="37">
        <v>26.041666666666664</v>
      </c>
      <c r="Q15" s="37">
        <v>44.107142857142854</v>
      </c>
      <c r="R15" s="37">
        <v>76.071428571428569</v>
      </c>
      <c r="S15" s="37">
        <v>17.1875</v>
      </c>
      <c r="T15" s="37">
        <v>59.523809523809526</v>
      </c>
      <c r="U15" s="37">
        <v>23.80952380952381</v>
      </c>
      <c r="V15" s="37"/>
      <c r="W15" s="37">
        <v>66.964285714285708</v>
      </c>
      <c r="X15" s="37">
        <v>26.041666666666664</v>
      </c>
      <c r="Y15" s="37">
        <v>10.223214285714286</v>
      </c>
      <c r="Z15" s="37">
        <v>76.99404761904762</v>
      </c>
      <c r="AA15" s="37">
        <v>76.13095238095238</v>
      </c>
    </row>
    <row r="16" spans="1:29" ht="17.25" hidden="1" customHeight="1" x14ac:dyDescent="0.2">
      <c r="A16" s="196" t="s">
        <v>118</v>
      </c>
      <c r="B16" s="148" t="s">
        <v>116</v>
      </c>
      <c r="C16" s="148">
        <v>14.91</v>
      </c>
      <c r="D16" s="173">
        <f t="shared" si="1"/>
        <v>16</v>
      </c>
      <c r="E16" s="176">
        <f t="shared" si="0"/>
        <v>16.64</v>
      </c>
      <c r="F16" s="38">
        <v>8.1845238095238102</v>
      </c>
      <c r="G16" s="37">
        <v>37.202380952380956</v>
      </c>
      <c r="H16" s="37">
        <v>16.666666666666668</v>
      </c>
      <c r="I16" s="37">
        <v>24.553571428571427</v>
      </c>
      <c r="J16" s="37">
        <v>9.9702380952380949</v>
      </c>
      <c r="K16" s="37">
        <v>24.556398809523809</v>
      </c>
      <c r="L16" s="37">
        <v>8.1845238095238102</v>
      </c>
      <c r="M16" s="37">
        <v>13.244047619047619</v>
      </c>
      <c r="N16" s="37">
        <v>9.2261904761904763</v>
      </c>
      <c r="O16" s="37">
        <v>20.833333333333336</v>
      </c>
      <c r="P16" s="37">
        <v>9.6726190476190474</v>
      </c>
      <c r="Q16" s="37">
        <v>8.2589285714285712</v>
      </c>
      <c r="R16" s="37">
        <v>24.553571428571427</v>
      </c>
      <c r="S16" s="37">
        <v>8.9285714285714288</v>
      </c>
      <c r="T16" s="37">
        <v>17.361111111111111</v>
      </c>
      <c r="U16" s="37">
        <v>8.3333333333333339</v>
      </c>
      <c r="V16" s="37">
        <v>34.36</v>
      </c>
      <c r="W16" s="37">
        <v>17.857142857142858</v>
      </c>
      <c r="X16" s="37">
        <v>8.0208333333333339</v>
      </c>
      <c r="Y16" s="37">
        <v>2.1130952380952381</v>
      </c>
      <c r="Z16" s="37">
        <v>29.007812499999996</v>
      </c>
      <c r="AA16" s="37">
        <v>13.244047619047619</v>
      </c>
      <c r="AC16" s="58"/>
    </row>
    <row r="17" spans="1:27" s="152" customFormat="1" ht="15.75" hidden="1" customHeight="1" x14ac:dyDescent="0.25">
      <c r="A17" s="197" t="s">
        <v>119</v>
      </c>
      <c r="B17" s="149" t="s">
        <v>116</v>
      </c>
      <c r="C17" s="149">
        <v>26.63</v>
      </c>
      <c r="D17" s="174">
        <f>ROUND(C17*1.1,0)*1.15</f>
        <v>33.349999999999994</v>
      </c>
      <c r="E17" s="176">
        <f t="shared" si="0"/>
        <v>34.683999999999997</v>
      </c>
      <c r="F17" s="150">
        <v>13.392857142857142</v>
      </c>
      <c r="G17" s="151">
        <v>44.642857142857146</v>
      </c>
      <c r="H17" s="151">
        <v>26.19047619047619</v>
      </c>
      <c r="I17" s="151">
        <v>29.761904761904763</v>
      </c>
      <c r="J17" s="151">
        <v>31.25</v>
      </c>
      <c r="K17" s="151">
        <v>91.75595238095238</v>
      </c>
      <c r="L17" s="151">
        <v>16.36904761904762</v>
      </c>
      <c r="M17" s="151">
        <v>45.133928571428569</v>
      </c>
      <c r="N17" s="151">
        <v>22.321428571428573</v>
      </c>
      <c r="O17" s="151">
        <v>62.5</v>
      </c>
      <c r="P17" s="151">
        <v>14.880952380952381</v>
      </c>
      <c r="Q17" s="151">
        <v>18.601190476190478</v>
      </c>
      <c r="R17" s="151">
        <v>91.666666666666657</v>
      </c>
      <c r="S17" s="151">
        <v>37.202380952380956</v>
      </c>
      <c r="T17" s="151">
        <v>79.861111111111114</v>
      </c>
      <c r="U17" s="151">
        <v>9.6726190476190474</v>
      </c>
      <c r="V17" s="151">
        <v>22.916666666666664</v>
      </c>
      <c r="W17" s="151">
        <v>61.011904761904759</v>
      </c>
      <c r="X17" s="151">
        <v>14.270833333333332</v>
      </c>
      <c r="Y17" s="151">
        <v>7.1428571428571432</v>
      </c>
      <c r="Z17" s="151">
        <v>43.402777777777779</v>
      </c>
      <c r="AA17" s="151">
        <v>45.133928571428569</v>
      </c>
    </row>
    <row r="18" spans="1:27" ht="17.25" hidden="1" customHeight="1" x14ac:dyDescent="0.2">
      <c r="A18" s="196" t="s">
        <v>120</v>
      </c>
      <c r="B18" s="148" t="s">
        <v>116</v>
      </c>
      <c r="C18" s="148">
        <v>16.88</v>
      </c>
      <c r="D18" s="173">
        <f t="shared" si="1"/>
        <v>19</v>
      </c>
      <c r="E18" s="176">
        <f t="shared" si="0"/>
        <v>19.760000000000002</v>
      </c>
      <c r="F18" s="38">
        <v>6.25</v>
      </c>
      <c r="G18" s="37">
        <v>4.4642857142857144</v>
      </c>
      <c r="H18" s="37">
        <v>7.4404761904761907</v>
      </c>
      <c r="I18" s="37">
        <v>52.083333333333329</v>
      </c>
      <c r="J18" s="37">
        <v>5.2083333333333339</v>
      </c>
      <c r="K18" s="37">
        <v>9.8511904761904763</v>
      </c>
      <c r="L18" s="37">
        <v>4.4642857142857144</v>
      </c>
      <c r="M18" s="37">
        <v>32.916666666666664</v>
      </c>
      <c r="N18" s="37">
        <v>8.9285714285714288</v>
      </c>
      <c r="O18" s="37">
        <v>10.416666666666668</v>
      </c>
      <c r="P18" s="37">
        <v>39.0625</v>
      </c>
      <c r="Q18" s="37"/>
      <c r="R18" s="37">
        <v>9.8214285714285712</v>
      </c>
      <c r="S18" s="37">
        <v>6.25</v>
      </c>
      <c r="T18" s="37">
        <v>22.916666666666664</v>
      </c>
      <c r="U18" s="37"/>
      <c r="V18" s="37"/>
      <c r="W18" s="37">
        <v>23.80952380952381</v>
      </c>
      <c r="X18" s="37">
        <v>18.4375</v>
      </c>
      <c r="Y18" s="37">
        <v>8.6607142857142865</v>
      </c>
      <c r="Z18" s="37"/>
      <c r="AA18" s="37">
        <v>32.916666666666664</v>
      </c>
    </row>
    <row r="19" spans="1:27" s="152" customFormat="1" ht="15.75" hidden="1" customHeight="1" x14ac:dyDescent="0.25">
      <c r="A19" s="197" t="s">
        <v>121</v>
      </c>
      <c r="B19" s="149" t="s">
        <v>116</v>
      </c>
      <c r="C19" s="149">
        <v>19.309999999999999</v>
      </c>
      <c r="D19" s="174">
        <f>ROUND(C19*1.1,0)*1.15</f>
        <v>24.15</v>
      </c>
      <c r="E19" s="176">
        <f t="shared" si="0"/>
        <v>25.116</v>
      </c>
      <c r="F19" s="150">
        <v>7.4404761904761907</v>
      </c>
      <c r="G19" s="151">
        <v>44.642857142857146</v>
      </c>
      <c r="H19" s="151">
        <v>9.375</v>
      </c>
      <c r="I19" s="151">
        <v>55.625</v>
      </c>
      <c r="J19" s="151">
        <v>6.6964285714285712</v>
      </c>
      <c r="K19" s="151">
        <v>7.9470238095238086</v>
      </c>
      <c r="L19" s="151">
        <v>5.9523809523809526</v>
      </c>
      <c r="M19" s="151">
        <v>11.755952380952381</v>
      </c>
      <c r="N19" s="151">
        <v>14.880952380952381</v>
      </c>
      <c r="O19" s="151">
        <v>15.3125</v>
      </c>
      <c r="P19" s="151">
        <v>80.208333333333343</v>
      </c>
      <c r="Q19" s="151"/>
      <c r="R19" s="151">
        <v>8.9285714285714288</v>
      </c>
      <c r="S19" s="151"/>
      <c r="T19" s="151">
        <v>10.833333333333332</v>
      </c>
      <c r="U19" s="151"/>
      <c r="V19" s="151">
        <v>10.416666666666668</v>
      </c>
      <c r="W19" s="151">
        <v>36.458333333333336</v>
      </c>
      <c r="X19" s="151">
        <v>10.416666666666668</v>
      </c>
      <c r="Y19" s="151">
        <v>8.6607142857142865</v>
      </c>
      <c r="Z19" s="151">
        <v>9.5133680555555564</v>
      </c>
      <c r="AA19" s="151">
        <v>11.755952380952381</v>
      </c>
    </row>
    <row r="20" spans="1:27" ht="17.25" hidden="1" customHeight="1" x14ac:dyDescent="0.2">
      <c r="A20" s="196" t="s">
        <v>122</v>
      </c>
      <c r="B20" s="148" t="s">
        <v>116</v>
      </c>
      <c r="C20" s="148">
        <v>16.420000000000002</v>
      </c>
      <c r="D20" s="173">
        <f t="shared" si="1"/>
        <v>18</v>
      </c>
      <c r="E20" s="176">
        <f t="shared" si="0"/>
        <v>18.72</v>
      </c>
      <c r="F20" s="38">
        <v>46.875</v>
      </c>
      <c r="G20" s="37">
        <v>29.761904761904763</v>
      </c>
      <c r="H20" s="37">
        <v>40.178571428571431</v>
      </c>
      <c r="I20" s="37">
        <v>26.785714285714285</v>
      </c>
      <c r="J20" s="37">
        <v>6.5922619047619051</v>
      </c>
      <c r="K20" s="37">
        <v>3.9150297619047612</v>
      </c>
      <c r="L20" s="37">
        <v>6.6666666666666661</v>
      </c>
      <c r="M20" s="37">
        <v>8.9285714285714288</v>
      </c>
      <c r="N20" s="37">
        <v>10.416666666666668</v>
      </c>
      <c r="O20" s="37">
        <v>14.166666666666668</v>
      </c>
      <c r="P20" s="37">
        <v>17.361111111111111</v>
      </c>
      <c r="Q20" s="37">
        <v>15.972222222222223</v>
      </c>
      <c r="R20" s="37">
        <v>3.8690476190476191</v>
      </c>
      <c r="S20" s="37">
        <v>4.1288690476190473</v>
      </c>
      <c r="T20" s="37">
        <v>17.361111111111111</v>
      </c>
      <c r="U20" s="37"/>
      <c r="V20" s="37"/>
      <c r="W20" s="37">
        <v>34.722222222222221</v>
      </c>
      <c r="X20" s="37">
        <v>6.25</v>
      </c>
      <c r="Y20" s="37">
        <v>3.8392857142857144</v>
      </c>
      <c r="Z20" s="37">
        <v>18.067187500000003</v>
      </c>
      <c r="AA20" s="37">
        <v>12.5</v>
      </c>
    </row>
    <row r="21" spans="1:27" s="152" customFormat="1" ht="17.25" hidden="1" customHeight="1" x14ac:dyDescent="0.25">
      <c r="A21" s="197" t="s">
        <v>123</v>
      </c>
      <c r="B21" s="149" t="s">
        <v>116</v>
      </c>
      <c r="C21" s="149">
        <v>24.69</v>
      </c>
      <c r="D21" s="174">
        <f>ROUND(C21*1.1,0)*1.15</f>
        <v>31.049999999999997</v>
      </c>
      <c r="E21" s="176">
        <f t="shared" si="0"/>
        <v>32.292000000000002</v>
      </c>
      <c r="F21" s="150">
        <v>4.166666666666667</v>
      </c>
      <c r="G21" s="151">
        <v>69.444444444444443</v>
      </c>
      <c r="H21" s="151">
        <v>16.81547619047619</v>
      </c>
      <c r="I21" s="151">
        <v>33.333333333333336</v>
      </c>
      <c r="J21" s="151">
        <v>5</v>
      </c>
      <c r="K21" s="151">
        <v>5.8958333333333339</v>
      </c>
      <c r="L21" s="151">
        <v>7.2916666666666661</v>
      </c>
      <c r="M21" s="151">
        <v>15.416666666666668</v>
      </c>
      <c r="N21" s="151">
        <v>14.880952380952381</v>
      </c>
      <c r="O21" s="151">
        <v>66.666666666666671</v>
      </c>
      <c r="P21" s="151">
        <v>9.5833333333333339</v>
      </c>
      <c r="Q21" s="151">
        <v>7.375</v>
      </c>
      <c r="R21" s="151">
        <v>5.9375</v>
      </c>
      <c r="S21" s="151">
        <v>9.8958333333333339</v>
      </c>
      <c r="T21" s="151">
        <v>28.645833333333336</v>
      </c>
      <c r="U21" s="151">
        <v>104.16666666666666</v>
      </c>
      <c r="V21" s="151"/>
      <c r="W21" s="151">
        <v>69.444444444444443</v>
      </c>
      <c r="X21" s="151">
        <v>12.5</v>
      </c>
      <c r="Y21" s="151">
        <v>5.6994047619047619</v>
      </c>
      <c r="Z21" s="151">
        <v>15.239583333333332</v>
      </c>
      <c r="AA21" s="151">
        <v>11.011904761904763</v>
      </c>
    </row>
    <row r="22" spans="1:27" s="152" customFormat="1" ht="18" hidden="1" customHeight="1" x14ac:dyDescent="0.25">
      <c r="A22" s="197" t="s">
        <v>124</v>
      </c>
      <c r="B22" s="149" t="s">
        <v>116</v>
      </c>
      <c r="C22" s="149">
        <v>15.27</v>
      </c>
      <c r="D22" s="174">
        <f>ROUND(C22*1.1,0)*1.15</f>
        <v>19.549999999999997</v>
      </c>
      <c r="E22" s="176">
        <f t="shared" si="0"/>
        <v>20.331999999999997</v>
      </c>
      <c r="F22" s="150">
        <v>7.4404761904761907</v>
      </c>
      <c r="G22" s="151">
        <v>29.761904761904763</v>
      </c>
      <c r="H22" s="151">
        <v>8.0357142857142865</v>
      </c>
      <c r="I22" s="151">
        <v>10.416666666666668</v>
      </c>
      <c r="J22" s="151">
        <v>10.625</v>
      </c>
      <c r="K22" s="151">
        <v>12.574404761904763</v>
      </c>
      <c r="L22" s="151">
        <v>11.875</v>
      </c>
      <c r="M22" s="151">
        <v>16.726190476190478</v>
      </c>
      <c r="N22" s="151">
        <v>7.2916666666666661</v>
      </c>
      <c r="O22" s="151">
        <v>43.75</v>
      </c>
      <c r="P22" s="151">
        <v>25</v>
      </c>
      <c r="Q22" s="151">
        <v>8.1597222222222214</v>
      </c>
      <c r="R22" s="151">
        <v>7.4404761904761907</v>
      </c>
      <c r="S22" s="151">
        <v>3.0741071428571431</v>
      </c>
      <c r="T22" s="151">
        <v>31.25</v>
      </c>
      <c r="U22" s="151"/>
      <c r="V22" s="151"/>
      <c r="W22" s="151">
        <v>32.986111111111114</v>
      </c>
      <c r="X22" s="151">
        <v>4.6875</v>
      </c>
      <c r="Y22" s="151">
        <v>4.3154761904761907</v>
      </c>
      <c r="Z22" s="151">
        <v>13.194444444444445</v>
      </c>
      <c r="AA22" s="151">
        <v>16.726190476190478</v>
      </c>
    </row>
    <row r="23" spans="1:27" ht="17.25" hidden="1" customHeight="1" x14ac:dyDescent="0.2">
      <c r="A23" s="196" t="s">
        <v>125</v>
      </c>
      <c r="B23" s="148" t="s">
        <v>116</v>
      </c>
      <c r="C23" s="148">
        <v>7.61</v>
      </c>
      <c r="D23" s="173">
        <f t="shared" si="1"/>
        <v>8</v>
      </c>
      <c r="E23" s="176">
        <f t="shared" si="0"/>
        <v>8.32</v>
      </c>
      <c r="F23" s="38">
        <v>15.625</v>
      </c>
      <c r="G23" s="37">
        <v>10.416666666666668</v>
      </c>
      <c r="H23" s="37">
        <v>6.1011904761904763</v>
      </c>
      <c r="I23" s="37">
        <v>10.416666666666668</v>
      </c>
      <c r="J23" s="37">
        <v>1.1904761904761905</v>
      </c>
      <c r="K23" s="37">
        <v>2.8125</v>
      </c>
      <c r="L23" s="37">
        <v>4.166666666666667</v>
      </c>
      <c r="M23" s="37">
        <v>1.3392857142857142</v>
      </c>
      <c r="N23" s="37">
        <v>8.9285714285714288</v>
      </c>
      <c r="O23" s="37">
        <v>14.541666666666666</v>
      </c>
      <c r="P23" s="37">
        <v>16.96</v>
      </c>
      <c r="Q23" s="37">
        <v>1.3194444444444444</v>
      </c>
      <c r="R23" s="37">
        <v>2.8273809523809526</v>
      </c>
      <c r="S23" s="37">
        <v>2.4553571428571428</v>
      </c>
      <c r="T23" s="37">
        <v>15.625</v>
      </c>
      <c r="U23" s="37"/>
      <c r="V23" s="37"/>
      <c r="W23" s="37">
        <v>20.83</v>
      </c>
      <c r="X23" s="37">
        <v>0.77083333333333337</v>
      </c>
      <c r="Y23" s="37">
        <v>6.97</v>
      </c>
      <c r="Z23" s="37"/>
      <c r="AA23" s="37">
        <v>1.3392857142857142</v>
      </c>
    </row>
    <row r="24" spans="1:27" ht="18" hidden="1" customHeight="1" x14ac:dyDescent="0.2">
      <c r="A24" s="196" t="s">
        <v>126</v>
      </c>
      <c r="B24" s="148" t="s">
        <v>116</v>
      </c>
      <c r="C24" s="148">
        <v>16.850000000000001</v>
      </c>
      <c r="D24" s="173">
        <f t="shared" si="1"/>
        <v>19</v>
      </c>
      <c r="E24" s="176">
        <f t="shared" si="0"/>
        <v>19.760000000000002</v>
      </c>
      <c r="F24" s="38">
        <v>13.392857142857142</v>
      </c>
      <c r="G24" s="37">
        <v>4.4642857142857144</v>
      </c>
      <c r="H24" s="37">
        <v>8.0357142857142865</v>
      </c>
      <c r="I24" s="37">
        <v>10.416666666666668</v>
      </c>
      <c r="J24" s="37">
        <v>23.892045454545453</v>
      </c>
      <c r="K24" s="37">
        <v>11.011904761904763</v>
      </c>
      <c r="L24" s="37">
        <v>29.761904761904763</v>
      </c>
      <c r="M24" s="37">
        <v>20.595238095238095</v>
      </c>
      <c r="N24" s="37">
        <v>5.9523809523809526</v>
      </c>
      <c r="O24" s="37">
        <v>16.666666666666668</v>
      </c>
      <c r="P24" s="37">
        <v>8.6805555555555554</v>
      </c>
      <c r="Q24" s="37"/>
      <c r="R24" s="37">
        <v>11.011904761904763</v>
      </c>
      <c r="S24" s="37">
        <v>8.3333333333333339</v>
      </c>
      <c r="T24" s="37">
        <v>9.375</v>
      </c>
      <c r="U24" s="37"/>
      <c r="V24" s="37"/>
      <c r="W24" s="37">
        <v>41.666666666666671</v>
      </c>
      <c r="X24" s="37">
        <v>3.645833333333333</v>
      </c>
      <c r="Y24" s="37">
        <v>20.09</v>
      </c>
      <c r="Z24" s="37">
        <v>52.610069444444449</v>
      </c>
      <c r="AA24" s="37">
        <v>20.595238095238095</v>
      </c>
    </row>
    <row r="25" spans="1:27" s="152" customFormat="1" ht="17.25" hidden="1" customHeight="1" x14ac:dyDescent="0.25">
      <c r="A25" s="197" t="s">
        <v>127</v>
      </c>
      <c r="B25" s="149" t="s">
        <v>116</v>
      </c>
      <c r="C25" s="149">
        <v>106.5</v>
      </c>
      <c r="D25" s="174">
        <f>ROUND(C25*1.1,0)*1.15</f>
        <v>134.54999999999998</v>
      </c>
      <c r="E25" s="176">
        <f t="shared" si="0"/>
        <v>139.93199999999999</v>
      </c>
      <c r="F25" s="150">
        <v>89.285714285714292</v>
      </c>
      <c r="G25" s="151">
        <v>297.61904761904765</v>
      </c>
      <c r="H25" s="151">
        <v>96.726190476190482</v>
      </c>
      <c r="I25" s="151">
        <v>104.16666666666666</v>
      </c>
      <c r="J25" s="151"/>
      <c r="K25" s="151">
        <v>20.77946428571429</v>
      </c>
      <c r="L25" s="151"/>
      <c r="M25" s="151">
        <v>172.20238095238096</v>
      </c>
      <c r="N25" s="151">
        <v>120.53571428571429</v>
      </c>
      <c r="O25" s="151">
        <v>94.047619047619051</v>
      </c>
      <c r="P25" s="151">
        <v>133.92857142857142</v>
      </c>
      <c r="Q25" s="151"/>
      <c r="R25" s="151">
        <v>20.833333333333336</v>
      </c>
      <c r="S25" s="151">
        <v>81.845238095238102</v>
      </c>
      <c r="T25" s="151">
        <v>118.30357142857142</v>
      </c>
      <c r="U25" s="151">
        <v>40.327380952380949</v>
      </c>
      <c r="V25" s="151">
        <v>86.805555555555557</v>
      </c>
      <c r="W25" s="151">
        <v>81.845238095238102</v>
      </c>
      <c r="X25" s="151">
        <v>61.979166666666671</v>
      </c>
      <c r="Y25" s="151">
        <v>48.75</v>
      </c>
      <c r="Z25" s="151">
        <v>130.20833333333334</v>
      </c>
      <c r="AA25" s="151">
        <v>172.20238095238096</v>
      </c>
    </row>
    <row r="26" spans="1:27" ht="16.5" hidden="1" customHeight="1" x14ac:dyDescent="0.2">
      <c r="A26" s="196" t="s">
        <v>128</v>
      </c>
      <c r="B26" s="148" t="s">
        <v>116</v>
      </c>
      <c r="C26" s="148">
        <v>159.75</v>
      </c>
      <c r="D26" s="173">
        <f t="shared" si="1"/>
        <v>176</v>
      </c>
      <c r="E26" s="176">
        <f t="shared" si="0"/>
        <v>183.04000000000002</v>
      </c>
      <c r="F26" s="38">
        <v>126.48809523809524</v>
      </c>
      <c r="G26" s="37">
        <v>148.80952380952382</v>
      </c>
      <c r="H26" s="37">
        <v>181.54761904761904</v>
      </c>
      <c r="I26" s="37">
        <v>208.33333333333331</v>
      </c>
      <c r="J26" s="37">
        <v>212.56696428571428</v>
      </c>
      <c r="K26" s="37">
        <v>220.23809523809524</v>
      </c>
      <c r="L26" s="37">
        <v>141.36904761904762</v>
      </c>
      <c r="M26" s="37">
        <v>245.77380952380952</v>
      </c>
      <c r="N26" s="37">
        <v>156.25</v>
      </c>
      <c r="O26" s="37">
        <v>114.58333333333334</v>
      </c>
      <c r="P26" s="37">
        <v>360.11904761904759</v>
      </c>
      <c r="Q26" s="37">
        <v>196.77083333333331</v>
      </c>
      <c r="R26" s="37">
        <v>297.61904761904765</v>
      </c>
      <c r="S26" s="37">
        <v>163.6904761904762</v>
      </c>
      <c r="T26" s="37">
        <v>75.892857142857139</v>
      </c>
      <c r="U26" s="37"/>
      <c r="V26" s="37"/>
      <c r="W26" s="37">
        <v>238.4672619047619</v>
      </c>
      <c r="X26" s="37">
        <v>947.91666666666674</v>
      </c>
      <c r="Y26" s="37">
        <v>200.89285714285717</v>
      </c>
      <c r="Z26" s="37">
        <v>51.614583333333329</v>
      </c>
      <c r="AA26" s="37">
        <v>245.77380952380952</v>
      </c>
    </row>
    <row r="27" spans="1:27" ht="15" hidden="1" customHeight="1" x14ac:dyDescent="0.2">
      <c r="A27" s="196" t="s">
        <v>129</v>
      </c>
      <c r="B27" s="148" t="s">
        <v>116</v>
      </c>
      <c r="C27" s="148">
        <v>275.44</v>
      </c>
      <c r="D27" s="173">
        <f t="shared" si="1"/>
        <v>303</v>
      </c>
      <c r="E27" s="176">
        <f t="shared" si="0"/>
        <v>315.12</v>
      </c>
      <c r="F27" s="38">
        <v>104.16666666666666</v>
      </c>
      <c r="G27" s="37">
        <v>297.61904761904765</v>
      </c>
      <c r="H27" s="37"/>
      <c r="I27" s="37">
        <v>372.02380952380952</v>
      </c>
      <c r="J27" s="37"/>
      <c r="K27" s="37">
        <v>308.75</v>
      </c>
      <c r="L27" s="37"/>
      <c r="M27" s="37">
        <v>51.5625</v>
      </c>
      <c r="N27" s="37"/>
      <c r="O27" s="37">
        <v>500.26785714285717</v>
      </c>
      <c r="P27" s="37">
        <v>186.01190476190499</v>
      </c>
      <c r="Q27" s="37">
        <v>354.16666666666663</v>
      </c>
      <c r="R27" s="37">
        <v>309.52380952380952</v>
      </c>
      <c r="S27" s="37"/>
      <c r="T27" s="37">
        <v>148.80952380952382</v>
      </c>
      <c r="U27" s="37"/>
      <c r="V27" s="37"/>
      <c r="W27" s="37">
        <v>178.57142857142858</v>
      </c>
      <c r="X27" s="37">
        <v>947.91666666666674</v>
      </c>
      <c r="Y27" s="37">
        <v>27.395833333333336</v>
      </c>
      <c r="Z27" s="37">
        <v>69.322916666666671</v>
      </c>
      <c r="AA27" s="37"/>
    </row>
    <row r="28" spans="1:27" ht="15.75" hidden="1" customHeight="1" x14ac:dyDescent="0.2">
      <c r="A28" s="196" t="s">
        <v>130</v>
      </c>
      <c r="B28" s="148" t="s">
        <v>116</v>
      </c>
      <c r="C28" s="148">
        <v>59.22</v>
      </c>
      <c r="D28" s="173">
        <f t="shared" si="1"/>
        <v>65</v>
      </c>
      <c r="E28" s="176">
        <f t="shared" si="0"/>
        <v>67.600000000000009</v>
      </c>
      <c r="F28" s="38">
        <v>22.321428571428573</v>
      </c>
      <c r="G28" s="37">
        <v>44.642857142857146</v>
      </c>
      <c r="H28" s="37">
        <v>81.845238095238102</v>
      </c>
      <c r="I28" s="37">
        <v>62.5</v>
      </c>
      <c r="J28" s="37">
        <v>65.297619047619051</v>
      </c>
      <c r="K28" s="37">
        <v>76.742857142857147</v>
      </c>
      <c r="L28" s="37">
        <v>55.05952380952381</v>
      </c>
      <c r="M28" s="37">
        <v>57.12797619047619</v>
      </c>
      <c r="N28" s="37">
        <v>59.523809523809526</v>
      </c>
      <c r="O28" s="37">
        <v>65.166666666666671</v>
      </c>
      <c r="P28" s="37">
        <v>40.922619047619051</v>
      </c>
      <c r="Q28" s="37">
        <v>73.258928571428569</v>
      </c>
      <c r="R28" s="37">
        <v>76.785714285714292</v>
      </c>
      <c r="S28" s="37">
        <v>32.8125</v>
      </c>
      <c r="T28" s="37">
        <v>52.083333333333329</v>
      </c>
      <c r="U28" s="37"/>
      <c r="V28" s="37"/>
      <c r="W28" s="37">
        <v>52.083333333333329</v>
      </c>
      <c r="X28" s="37">
        <v>90.625</v>
      </c>
      <c r="Y28" s="37"/>
      <c r="Z28" s="37"/>
      <c r="AA28" s="37">
        <v>57.12797619047619</v>
      </c>
    </row>
    <row r="29" spans="1:27" ht="16.5" hidden="1" customHeight="1" x14ac:dyDescent="0.2">
      <c r="A29" s="196" t="s">
        <v>131</v>
      </c>
      <c r="B29" s="148" t="s">
        <v>116</v>
      </c>
      <c r="C29" s="148">
        <v>68.91</v>
      </c>
      <c r="D29" s="173">
        <f t="shared" si="1"/>
        <v>76</v>
      </c>
      <c r="E29" s="176">
        <f t="shared" si="0"/>
        <v>79.040000000000006</v>
      </c>
      <c r="F29" s="38">
        <v>96.73</v>
      </c>
      <c r="G29" s="37">
        <v>31.25</v>
      </c>
      <c r="H29" s="37">
        <v>45.833333333333329</v>
      </c>
      <c r="I29" s="37">
        <v>52.083333333333329</v>
      </c>
      <c r="J29" s="37">
        <v>74.404761904761912</v>
      </c>
      <c r="K29" s="37">
        <v>86.696428571428584</v>
      </c>
      <c r="L29" s="37">
        <v>62.5</v>
      </c>
      <c r="M29" s="37">
        <v>97.023809523809518</v>
      </c>
      <c r="N29" s="37">
        <v>50.595238095238095</v>
      </c>
      <c r="O29" s="37">
        <v>77.222222222222229</v>
      </c>
      <c r="P29" s="37">
        <v>50.166666666666664</v>
      </c>
      <c r="Q29" s="37">
        <v>79.0625</v>
      </c>
      <c r="R29" s="37">
        <v>86.607142857142861</v>
      </c>
      <c r="S29" s="37">
        <v>4.2559523809523805</v>
      </c>
      <c r="T29" s="37">
        <v>72.916666666666671</v>
      </c>
      <c r="U29" s="37"/>
      <c r="V29" s="37"/>
      <c r="W29" s="37">
        <v>87.5</v>
      </c>
      <c r="X29" s="37">
        <v>88.54</v>
      </c>
      <c r="Y29" s="37"/>
      <c r="Z29" s="37"/>
      <c r="AA29" s="37">
        <v>97.023809523809518</v>
      </c>
    </row>
    <row r="30" spans="1:27" ht="16.5" hidden="1" customHeight="1" x14ac:dyDescent="0.2">
      <c r="A30" s="197" t="s">
        <v>746</v>
      </c>
      <c r="B30" s="149" t="s">
        <v>116</v>
      </c>
      <c r="C30" s="149"/>
      <c r="D30" s="174">
        <f>25*1.15</f>
        <v>28.749999999999996</v>
      </c>
      <c r="E30" s="176">
        <f t="shared" si="0"/>
        <v>29.9</v>
      </c>
      <c r="F30" s="38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</row>
    <row r="31" spans="1:27" ht="16.5" hidden="1" customHeight="1" x14ac:dyDescent="0.2">
      <c r="A31" s="197" t="s">
        <v>156</v>
      </c>
      <c r="B31" s="149" t="s">
        <v>116</v>
      </c>
      <c r="C31" s="149"/>
      <c r="D31" s="174">
        <f>26*1.15</f>
        <v>29.9</v>
      </c>
      <c r="E31" s="176">
        <f t="shared" si="0"/>
        <v>31.096</v>
      </c>
      <c r="F31" s="38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</row>
    <row r="32" spans="1:27" ht="119.25" customHeight="1" x14ac:dyDescent="0.2">
      <c r="A32" s="194" t="s">
        <v>602</v>
      </c>
      <c r="B32" s="166" t="s">
        <v>492</v>
      </c>
      <c r="C32" s="166">
        <v>101.18</v>
      </c>
      <c r="D32" s="103">
        <v>1019</v>
      </c>
      <c r="E32" s="176">
        <f t="shared" si="0"/>
        <v>1059.76</v>
      </c>
      <c r="F32" s="38">
        <v>100.71282696827895</v>
      </c>
      <c r="G32" s="37">
        <v>58.684881008660639</v>
      </c>
      <c r="H32" s="37">
        <v>18.520724877624705</v>
      </c>
      <c r="I32" s="37">
        <v>43.512869539045113</v>
      </c>
      <c r="J32" s="37">
        <v>40.200859681609572</v>
      </c>
      <c r="K32" s="37">
        <v>49.913073885263927</v>
      </c>
      <c r="L32" s="37">
        <v>124.30879678983581</v>
      </c>
      <c r="M32" s="37">
        <v>96.985159112558122</v>
      </c>
      <c r="N32" s="37">
        <v>139.8812576129246</v>
      </c>
      <c r="O32" s="37">
        <v>23.11852861906771</v>
      </c>
      <c r="P32" s="37">
        <v>16.683623862951585</v>
      </c>
      <c r="Q32" s="37">
        <v>44.510790465862158</v>
      </c>
      <c r="R32" s="37">
        <v>23.617575354609922</v>
      </c>
      <c r="S32" s="37">
        <v>46.380999704179146</v>
      </c>
      <c r="T32" s="37">
        <v>60.652930782510602</v>
      </c>
      <c r="U32" s="37">
        <v>62.653864921385846</v>
      </c>
      <c r="V32" s="37">
        <v>56.654010238907844</v>
      </c>
      <c r="W32" s="37">
        <v>45.344586643583156</v>
      </c>
      <c r="X32" s="37">
        <v>46.945032753780225</v>
      </c>
      <c r="Y32" s="37">
        <v>105.99708971274342</v>
      </c>
      <c r="Z32" s="37">
        <v>56.473856731691718</v>
      </c>
      <c r="AA32" s="37">
        <v>141.4528442062421</v>
      </c>
    </row>
    <row r="33" spans="1:29" ht="51" hidden="1" customHeight="1" x14ac:dyDescent="0.2">
      <c r="A33" s="195" t="s">
        <v>747</v>
      </c>
      <c r="B33" s="148"/>
      <c r="C33" s="148"/>
      <c r="D33" s="173">
        <f>111*1.15*4</f>
        <v>510.59999999999997</v>
      </c>
      <c r="E33" s="176">
        <f t="shared" si="0"/>
        <v>531.024</v>
      </c>
      <c r="F33" s="38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</row>
    <row r="34" spans="1:29" ht="15" hidden="1" customHeight="1" x14ac:dyDescent="0.2">
      <c r="A34" s="196" t="s">
        <v>114</v>
      </c>
      <c r="B34" s="148"/>
      <c r="C34" s="148"/>
      <c r="D34" s="148"/>
      <c r="E34" s="176">
        <f t="shared" si="0"/>
        <v>0</v>
      </c>
      <c r="F34" s="38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</row>
    <row r="35" spans="1:29" s="152" customFormat="1" ht="16.5" hidden="1" customHeight="1" x14ac:dyDescent="0.25">
      <c r="A35" s="197" t="s">
        <v>115</v>
      </c>
      <c r="B35" s="149" t="s">
        <v>116</v>
      </c>
      <c r="C35" s="149">
        <v>125.54</v>
      </c>
      <c r="D35" s="174">
        <f>ROUND(C35*1.1,0)*1.5</f>
        <v>207</v>
      </c>
      <c r="E35" s="176">
        <f t="shared" si="0"/>
        <v>215.28</v>
      </c>
      <c r="F35" s="150">
        <v>119.04761904761905</v>
      </c>
      <c r="G35" s="151">
        <v>163.6904761904762</v>
      </c>
      <c r="H35" s="151">
        <v>252.23214285714283</v>
      </c>
      <c r="I35" s="151">
        <v>176.5625</v>
      </c>
      <c r="J35" s="151">
        <v>123.51190476190476</v>
      </c>
      <c r="K35" s="151">
        <v>161.69136904761905</v>
      </c>
      <c r="L35" s="151">
        <v>74.404761904761912</v>
      </c>
      <c r="M35" s="151">
        <v>161.74107142857142</v>
      </c>
      <c r="N35" s="151">
        <v>104.16666666666666</v>
      </c>
      <c r="O35" s="151">
        <v>71.666666666666671</v>
      </c>
      <c r="P35" s="151">
        <v>86.30952380952381</v>
      </c>
      <c r="Q35" s="151">
        <v>78.86904761904762</v>
      </c>
      <c r="R35" s="151">
        <v>161.68154761904762</v>
      </c>
      <c r="S35" s="151">
        <v>39.43452380952381</v>
      </c>
      <c r="T35" s="151">
        <v>178.57142857142858</v>
      </c>
      <c r="U35" s="151">
        <v>104.16666666666666</v>
      </c>
      <c r="V35" s="151">
        <v>194.20520833333336</v>
      </c>
      <c r="W35" s="151">
        <v>83.333333333333343</v>
      </c>
      <c r="X35" s="151">
        <v>40.3125</v>
      </c>
      <c r="Y35" s="151">
        <v>60.56547619047619</v>
      </c>
      <c r="Z35" s="151">
        <v>164.0498511904762</v>
      </c>
      <c r="AA35" s="151">
        <v>161.74107142857142</v>
      </c>
    </row>
    <row r="36" spans="1:29" ht="15" hidden="1" customHeight="1" x14ac:dyDescent="0.2">
      <c r="A36" s="196" t="s">
        <v>117</v>
      </c>
      <c r="B36" s="148" t="s">
        <v>116</v>
      </c>
      <c r="C36" s="148">
        <v>50.15</v>
      </c>
      <c r="D36" s="173">
        <f t="shared" ref="D36:D37" si="2">ROUND(C36*1.1,0)</f>
        <v>55</v>
      </c>
      <c r="E36" s="176">
        <f t="shared" si="0"/>
        <v>57.2</v>
      </c>
      <c r="F36" s="38">
        <v>22.321428571428573</v>
      </c>
      <c r="G36" s="37">
        <v>81.979166666666657</v>
      </c>
      <c r="H36" s="37">
        <v>79.166666666666671</v>
      </c>
      <c r="I36" s="37">
        <v>76.071428571428569</v>
      </c>
      <c r="J36" s="37">
        <v>44.642857142857146</v>
      </c>
      <c r="K36" s="37">
        <v>76.073065476190479</v>
      </c>
      <c r="L36" s="37">
        <v>22.321428571428573</v>
      </c>
      <c r="M36" s="37">
        <v>76.13095238095238</v>
      </c>
      <c r="N36" s="37">
        <v>44.642857142857146</v>
      </c>
      <c r="O36" s="37">
        <v>26.708333333333336</v>
      </c>
      <c r="P36" s="37">
        <v>26.041666666666664</v>
      </c>
      <c r="Q36" s="37">
        <v>44.107142857142854</v>
      </c>
      <c r="R36" s="37">
        <v>76.071428571428569</v>
      </c>
      <c r="S36" s="37">
        <v>17.1875</v>
      </c>
      <c r="T36" s="37">
        <v>59.523809523809526</v>
      </c>
      <c r="U36" s="37">
        <v>23.80952380952381</v>
      </c>
      <c r="V36" s="37"/>
      <c r="W36" s="37">
        <v>66.964285714285708</v>
      </c>
      <c r="X36" s="37">
        <v>26.041666666666664</v>
      </c>
      <c r="Y36" s="37">
        <v>10.223214285714286</v>
      </c>
      <c r="Z36" s="37">
        <v>76.99404761904762</v>
      </c>
      <c r="AA36" s="37">
        <v>76.13095238095238</v>
      </c>
    </row>
    <row r="37" spans="1:29" ht="17.25" hidden="1" customHeight="1" x14ac:dyDescent="0.2">
      <c r="A37" s="196" t="s">
        <v>118</v>
      </c>
      <c r="B37" s="148" t="s">
        <v>116</v>
      </c>
      <c r="C37" s="148">
        <v>14.91</v>
      </c>
      <c r="D37" s="173">
        <f t="shared" si="2"/>
        <v>16</v>
      </c>
      <c r="E37" s="176">
        <f t="shared" si="0"/>
        <v>16.64</v>
      </c>
      <c r="F37" s="38">
        <v>8.1845238095238102</v>
      </c>
      <c r="G37" s="37">
        <v>37.202380952380956</v>
      </c>
      <c r="H37" s="37">
        <v>16.666666666666668</v>
      </c>
      <c r="I37" s="37">
        <v>24.553571428571427</v>
      </c>
      <c r="J37" s="37">
        <v>9.9702380952380949</v>
      </c>
      <c r="K37" s="37">
        <v>24.556398809523809</v>
      </c>
      <c r="L37" s="37">
        <v>8.1845238095238102</v>
      </c>
      <c r="M37" s="37">
        <v>13.244047619047619</v>
      </c>
      <c r="N37" s="37">
        <v>9.2261904761904763</v>
      </c>
      <c r="O37" s="37">
        <v>20.833333333333336</v>
      </c>
      <c r="P37" s="37">
        <v>9.6726190476190474</v>
      </c>
      <c r="Q37" s="37">
        <v>8.2589285714285712</v>
      </c>
      <c r="R37" s="37">
        <v>24.553571428571427</v>
      </c>
      <c r="S37" s="37">
        <v>8.9285714285714288</v>
      </c>
      <c r="T37" s="37">
        <v>17.361111111111111</v>
      </c>
      <c r="U37" s="37">
        <v>8.3333333333333339</v>
      </c>
      <c r="V37" s="37">
        <v>34.36</v>
      </c>
      <c r="W37" s="37">
        <v>17.857142857142858</v>
      </c>
      <c r="X37" s="37">
        <v>8.0208333333333339</v>
      </c>
      <c r="Y37" s="37">
        <v>2.1130952380952381</v>
      </c>
      <c r="Z37" s="37">
        <v>29.007812499999996</v>
      </c>
      <c r="AA37" s="37">
        <v>13.244047619047619</v>
      </c>
      <c r="AC37" s="58"/>
    </row>
    <row r="38" spans="1:29" s="152" customFormat="1" ht="15.75" hidden="1" customHeight="1" x14ac:dyDescent="0.25">
      <c r="A38" s="197" t="s">
        <v>119</v>
      </c>
      <c r="B38" s="149" t="s">
        <v>116</v>
      </c>
      <c r="C38" s="149">
        <v>26.63</v>
      </c>
      <c r="D38" s="174">
        <f>ROUND(C38*1.1,0)*1.15</f>
        <v>33.349999999999994</v>
      </c>
      <c r="E38" s="176">
        <f t="shared" si="0"/>
        <v>34.683999999999997</v>
      </c>
      <c r="F38" s="150">
        <v>13.392857142857142</v>
      </c>
      <c r="G38" s="151">
        <v>44.642857142857146</v>
      </c>
      <c r="H38" s="151">
        <v>26.19047619047619</v>
      </c>
      <c r="I38" s="151">
        <v>29.761904761904763</v>
      </c>
      <c r="J38" s="151">
        <v>31.25</v>
      </c>
      <c r="K38" s="151">
        <v>91.75595238095238</v>
      </c>
      <c r="L38" s="151">
        <v>16.36904761904762</v>
      </c>
      <c r="M38" s="151">
        <v>45.133928571428569</v>
      </c>
      <c r="N38" s="151">
        <v>22.321428571428573</v>
      </c>
      <c r="O38" s="151">
        <v>62.5</v>
      </c>
      <c r="P38" s="151">
        <v>14.880952380952381</v>
      </c>
      <c r="Q38" s="151">
        <v>18.601190476190478</v>
      </c>
      <c r="R38" s="151">
        <v>91.666666666666657</v>
      </c>
      <c r="S38" s="151">
        <v>37.202380952380956</v>
      </c>
      <c r="T38" s="151">
        <v>79.861111111111114</v>
      </c>
      <c r="U38" s="151">
        <v>9.6726190476190474</v>
      </c>
      <c r="V38" s="151">
        <v>22.916666666666664</v>
      </c>
      <c r="W38" s="151">
        <v>61.011904761904759</v>
      </c>
      <c r="X38" s="151">
        <v>14.270833333333332</v>
      </c>
      <c r="Y38" s="151">
        <v>7.1428571428571432</v>
      </c>
      <c r="Z38" s="151">
        <v>43.402777777777779</v>
      </c>
      <c r="AA38" s="151">
        <v>45.133928571428569</v>
      </c>
    </row>
    <row r="39" spans="1:29" ht="17.25" hidden="1" customHeight="1" x14ac:dyDescent="0.2">
      <c r="A39" s="196" t="s">
        <v>120</v>
      </c>
      <c r="B39" s="148" t="s">
        <v>116</v>
      </c>
      <c r="C39" s="148">
        <v>16.88</v>
      </c>
      <c r="D39" s="173">
        <f t="shared" ref="D39" si="3">ROUND(C39*1.1,0)</f>
        <v>19</v>
      </c>
      <c r="E39" s="176">
        <f t="shared" si="0"/>
        <v>19.760000000000002</v>
      </c>
      <c r="F39" s="38">
        <v>6.25</v>
      </c>
      <c r="G39" s="37">
        <v>4.4642857142857144</v>
      </c>
      <c r="H39" s="37">
        <v>7.4404761904761907</v>
      </c>
      <c r="I39" s="37">
        <v>52.083333333333329</v>
      </c>
      <c r="J39" s="37">
        <v>5.2083333333333339</v>
      </c>
      <c r="K39" s="37">
        <v>9.8511904761904763</v>
      </c>
      <c r="L39" s="37">
        <v>4.4642857142857144</v>
      </c>
      <c r="M39" s="37">
        <v>32.916666666666664</v>
      </c>
      <c r="N39" s="37">
        <v>8.9285714285714288</v>
      </c>
      <c r="O39" s="37">
        <v>10.416666666666668</v>
      </c>
      <c r="P39" s="37">
        <v>39.0625</v>
      </c>
      <c r="Q39" s="37"/>
      <c r="R39" s="37">
        <v>9.8214285714285712</v>
      </c>
      <c r="S39" s="37">
        <v>6.25</v>
      </c>
      <c r="T39" s="37">
        <v>22.916666666666664</v>
      </c>
      <c r="U39" s="37"/>
      <c r="V39" s="37"/>
      <c r="W39" s="37">
        <v>23.80952380952381</v>
      </c>
      <c r="X39" s="37">
        <v>18.4375</v>
      </c>
      <c r="Y39" s="37">
        <v>8.6607142857142865</v>
      </c>
      <c r="Z39" s="37"/>
      <c r="AA39" s="37">
        <v>32.916666666666664</v>
      </c>
    </row>
    <row r="40" spans="1:29" s="152" customFormat="1" ht="15.75" hidden="1" customHeight="1" x14ac:dyDescent="0.25">
      <c r="A40" s="197" t="s">
        <v>121</v>
      </c>
      <c r="B40" s="149" t="s">
        <v>116</v>
      </c>
      <c r="C40" s="149">
        <v>19.309999999999999</v>
      </c>
      <c r="D40" s="174">
        <f>ROUND(C40*1.1,0)*1.15</f>
        <v>24.15</v>
      </c>
      <c r="E40" s="176">
        <f t="shared" si="0"/>
        <v>25.116</v>
      </c>
      <c r="F40" s="150">
        <v>7.4404761904761907</v>
      </c>
      <c r="G40" s="151">
        <v>44.642857142857146</v>
      </c>
      <c r="H40" s="151">
        <v>9.375</v>
      </c>
      <c r="I40" s="151">
        <v>55.625</v>
      </c>
      <c r="J40" s="151">
        <v>6.6964285714285712</v>
      </c>
      <c r="K40" s="151">
        <v>7.9470238095238086</v>
      </c>
      <c r="L40" s="151">
        <v>5.9523809523809526</v>
      </c>
      <c r="M40" s="151">
        <v>11.755952380952381</v>
      </c>
      <c r="N40" s="151">
        <v>14.880952380952381</v>
      </c>
      <c r="O40" s="151">
        <v>15.3125</v>
      </c>
      <c r="P40" s="151">
        <v>80.208333333333343</v>
      </c>
      <c r="Q40" s="151"/>
      <c r="R40" s="151">
        <v>8.9285714285714288</v>
      </c>
      <c r="S40" s="151"/>
      <c r="T40" s="151">
        <v>10.833333333333332</v>
      </c>
      <c r="U40" s="151"/>
      <c r="V40" s="151">
        <v>10.416666666666668</v>
      </c>
      <c r="W40" s="151">
        <v>36.458333333333336</v>
      </c>
      <c r="X40" s="151">
        <v>10.416666666666668</v>
      </c>
      <c r="Y40" s="151">
        <v>8.6607142857142865</v>
      </c>
      <c r="Z40" s="151">
        <v>9.5133680555555564</v>
      </c>
      <c r="AA40" s="151">
        <v>11.755952380952381</v>
      </c>
    </row>
    <row r="41" spans="1:29" ht="17.25" hidden="1" customHeight="1" x14ac:dyDescent="0.2">
      <c r="A41" s="196" t="s">
        <v>122</v>
      </c>
      <c r="B41" s="148" t="s">
        <v>116</v>
      </c>
      <c r="C41" s="148">
        <v>16.420000000000002</v>
      </c>
      <c r="D41" s="173">
        <f t="shared" ref="D41" si="4">ROUND(C41*1.1,0)</f>
        <v>18</v>
      </c>
      <c r="E41" s="176">
        <f t="shared" si="0"/>
        <v>18.72</v>
      </c>
      <c r="F41" s="38">
        <v>46.875</v>
      </c>
      <c r="G41" s="37">
        <v>29.761904761904763</v>
      </c>
      <c r="H41" s="37">
        <v>40.178571428571431</v>
      </c>
      <c r="I41" s="37">
        <v>26.785714285714285</v>
      </c>
      <c r="J41" s="37">
        <v>6.5922619047619051</v>
      </c>
      <c r="K41" s="37">
        <v>3.9150297619047612</v>
      </c>
      <c r="L41" s="37">
        <v>6.6666666666666661</v>
      </c>
      <c r="M41" s="37">
        <v>8.9285714285714288</v>
      </c>
      <c r="N41" s="37">
        <v>10.416666666666668</v>
      </c>
      <c r="O41" s="37">
        <v>14.166666666666668</v>
      </c>
      <c r="P41" s="37">
        <v>17.361111111111111</v>
      </c>
      <c r="Q41" s="37">
        <v>15.972222222222223</v>
      </c>
      <c r="R41" s="37">
        <v>3.8690476190476191</v>
      </c>
      <c r="S41" s="37">
        <v>4.1288690476190473</v>
      </c>
      <c r="T41" s="37">
        <v>17.361111111111111</v>
      </c>
      <c r="U41" s="37"/>
      <c r="V41" s="37"/>
      <c r="W41" s="37">
        <v>34.722222222222221</v>
      </c>
      <c r="X41" s="37">
        <v>6.25</v>
      </c>
      <c r="Y41" s="37">
        <v>3.8392857142857144</v>
      </c>
      <c r="Z41" s="37">
        <v>18.067187500000003</v>
      </c>
      <c r="AA41" s="37">
        <v>12.5</v>
      </c>
    </row>
    <row r="42" spans="1:29" s="152" customFormat="1" ht="17.25" hidden="1" customHeight="1" x14ac:dyDescent="0.25">
      <c r="A42" s="197" t="s">
        <v>123</v>
      </c>
      <c r="B42" s="149" t="s">
        <v>116</v>
      </c>
      <c r="C42" s="149">
        <v>24.69</v>
      </c>
      <c r="D42" s="174">
        <f>ROUND(C42*1.1,0)*1.15</f>
        <v>31.049999999999997</v>
      </c>
      <c r="E42" s="176">
        <f t="shared" si="0"/>
        <v>32.292000000000002</v>
      </c>
      <c r="F42" s="150">
        <v>4.166666666666667</v>
      </c>
      <c r="G42" s="151">
        <v>69.444444444444443</v>
      </c>
      <c r="H42" s="151">
        <v>16.81547619047619</v>
      </c>
      <c r="I42" s="151">
        <v>33.333333333333336</v>
      </c>
      <c r="J42" s="151">
        <v>5</v>
      </c>
      <c r="K42" s="151">
        <v>5.8958333333333339</v>
      </c>
      <c r="L42" s="151">
        <v>7.2916666666666661</v>
      </c>
      <c r="M42" s="151">
        <v>15.416666666666668</v>
      </c>
      <c r="N42" s="151">
        <v>14.880952380952381</v>
      </c>
      <c r="O42" s="151">
        <v>66.666666666666671</v>
      </c>
      <c r="P42" s="151">
        <v>9.5833333333333339</v>
      </c>
      <c r="Q42" s="151">
        <v>7.375</v>
      </c>
      <c r="R42" s="151">
        <v>5.9375</v>
      </c>
      <c r="S42" s="151">
        <v>9.8958333333333339</v>
      </c>
      <c r="T42" s="151">
        <v>28.645833333333336</v>
      </c>
      <c r="U42" s="151">
        <v>104.16666666666666</v>
      </c>
      <c r="V42" s="151"/>
      <c r="W42" s="151">
        <v>69.444444444444443</v>
      </c>
      <c r="X42" s="151">
        <v>12.5</v>
      </c>
      <c r="Y42" s="151">
        <v>5.6994047619047619</v>
      </c>
      <c r="Z42" s="151">
        <v>15.239583333333332</v>
      </c>
      <c r="AA42" s="151">
        <v>11.011904761904763</v>
      </c>
    </row>
    <row r="43" spans="1:29" s="152" customFormat="1" ht="18" hidden="1" customHeight="1" x14ac:dyDescent="0.25">
      <c r="A43" s="197" t="s">
        <v>124</v>
      </c>
      <c r="B43" s="149" t="s">
        <v>116</v>
      </c>
      <c r="C43" s="149">
        <v>15.27</v>
      </c>
      <c r="D43" s="174">
        <f>ROUND(C43*1.1,0)*1.15</f>
        <v>19.549999999999997</v>
      </c>
      <c r="E43" s="176">
        <f t="shared" si="0"/>
        <v>20.331999999999997</v>
      </c>
      <c r="F43" s="150">
        <v>7.4404761904761907</v>
      </c>
      <c r="G43" s="151">
        <v>29.761904761904763</v>
      </c>
      <c r="H43" s="151">
        <v>8.0357142857142865</v>
      </c>
      <c r="I43" s="151">
        <v>10.416666666666668</v>
      </c>
      <c r="J43" s="151">
        <v>10.625</v>
      </c>
      <c r="K43" s="151">
        <v>12.574404761904763</v>
      </c>
      <c r="L43" s="151">
        <v>11.875</v>
      </c>
      <c r="M43" s="151">
        <v>16.726190476190478</v>
      </c>
      <c r="N43" s="151">
        <v>7.2916666666666661</v>
      </c>
      <c r="O43" s="151">
        <v>43.75</v>
      </c>
      <c r="P43" s="151">
        <v>25</v>
      </c>
      <c r="Q43" s="151">
        <v>8.1597222222222214</v>
      </c>
      <c r="R43" s="151">
        <v>7.4404761904761907</v>
      </c>
      <c r="S43" s="151">
        <v>3.0741071428571431</v>
      </c>
      <c r="T43" s="151">
        <v>31.25</v>
      </c>
      <c r="U43" s="151"/>
      <c r="V43" s="151"/>
      <c r="W43" s="151">
        <v>32.986111111111114</v>
      </c>
      <c r="X43" s="151">
        <v>4.6875</v>
      </c>
      <c r="Y43" s="151">
        <v>4.3154761904761907</v>
      </c>
      <c r="Z43" s="151">
        <v>13.194444444444445</v>
      </c>
      <c r="AA43" s="151">
        <v>16.726190476190478</v>
      </c>
    </row>
    <row r="44" spans="1:29" ht="17.25" hidden="1" customHeight="1" x14ac:dyDescent="0.2">
      <c r="A44" s="196" t="s">
        <v>125</v>
      </c>
      <c r="B44" s="148" t="s">
        <v>116</v>
      </c>
      <c r="C44" s="148">
        <v>7.61</v>
      </c>
      <c r="D44" s="173">
        <f t="shared" ref="D44:D45" si="5">ROUND(C44*1.1,0)</f>
        <v>8</v>
      </c>
      <c r="E44" s="176">
        <f t="shared" si="0"/>
        <v>8.32</v>
      </c>
      <c r="F44" s="38">
        <v>15.625</v>
      </c>
      <c r="G44" s="37">
        <v>10.416666666666668</v>
      </c>
      <c r="H44" s="37">
        <v>6.1011904761904763</v>
      </c>
      <c r="I44" s="37">
        <v>10.416666666666668</v>
      </c>
      <c r="J44" s="37">
        <v>1.1904761904761905</v>
      </c>
      <c r="K44" s="37">
        <v>2.8125</v>
      </c>
      <c r="L44" s="37">
        <v>4.166666666666667</v>
      </c>
      <c r="M44" s="37">
        <v>1.3392857142857142</v>
      </c>
      <c r="N44" s="37">
        <v>8.9285714285714288</v>
      </c>
      <c r="O44" s="37">
        <v>14.541666666666666</v>
      </c>
      <c r="P44" s="37">
        <v>16.96</v>
      </c>
      <c r="Q44" s="37">
        <v>1.3194444444444444</v>
      </c>
      <c r="R44" s="37">
        <v>2.8273809523809526</v>
      </c>
      <c r="S44" s="37">
        <v>2.4553571428571428</v>
      </c>
      <c r="T44" s="37">
        <v>15.625</v>
      </c>
      <c r="U44" s="37"/>
      <c r="V44" s="37"/>
      <c r="W44" s="37">
        <v>20.83</v>
      </c>
      <c r="X44" s="37">
        <v>0.77083333333333337</v>
      </c>
      <c r="Y44" s="37">
        <v>6.97</v>
      </c>
      <c r="Z44" s="37"/>
      <c r="AA44" s="37">
        <v>1.3392857142857142</v>
      </c>
    </row>
    <row r="45" spans="1:29" ht="18" hidden="1" customHeight="1" x14ac:dyDescent="0.2">
      <c r="A45" s="196" t="s">
        <v>126</v>
      </c>
      <c r="B45" s="148" t="s">
        <v>116</v>
      </c>
      <c r="C45" s="148">
        <v>16.850000000000001</v>
      </c>
      <c r="D45" s="173">
        <f t="shared" si="5"/>
        <v>19</v>
      </c>
      <c r="E45" s="176">
        <f t="shared" si="0"/>
        <v>19.760000000000002</v>
      </c>
      <c r="F45" s="38">
        <v>13.392857142857142</v>
      </c>
      <c r="G45" s="37">
        <v>4.4642857142857144</v>
      </c>
      <c r="H45" s="37">
        <v>8.0357142857142865</v>
      </c>
      <c r="I45" s="37">
        <v>10.416666666666668</v>
      </c>
      <c r="J45" s="37">
        <v>23.892045454545453</v>
      </c>
      <c r="K45" s="37">
        <v>11.011904761904763</v>
      </c>
      <c r="L45" s="37">
        <v>29.761904761904763</v>
      </c>
      <c r="M45" s="37">
        <v>20.595238095238095</v>
      </c>
      <c r="N45" s="37">
        <v>5.9523809523809526</v>
      </c>
      <c r="O45" s="37">
        <v>16.666666666666668</v>
      </c>
      <c r="P45" s="37">
        <v>8.6805555555555554</v>
      </c>
      <c r="Q45" s="37"/>
      <c r="R45" s="37">
        <v>11.011904761904763</v>
      </c>
      <c r="S45" s="37">
        <v>8.3333333333333339</v>
      </c>
      <c r="T45" s="37">
        <v>9.375</v>
      </c>
      <c r="U45" s="37"/>
      <c r="V45" s="37"/>
      <c r="W45" s="37">
        <v>41.666666666666671</v>
      </c>
      <c r="X45" s="37">
        <v>3.645833333333333</v>
      </c>
      <c r="Y45" s="37">
        <v>20.09</v>
      </c>
      <c r="Z45" s="37">
        <v>52.610069444444449</v>
      </c>
      <c r="AA45" s="37">
        <v>20.595238095238095</v>
      </c>
    </row>
    <row r="46" spans="1:29" s="152" customFormat="1" ht="17.25" hidden="1" customHeight="1" x14ac:dyDescent="0.25">
      <c r="A46" s="197" t="s">
        <v>127</v>
      </c>
      <c r="B46" s="149" t="s">
        <v>116</v>
      </c>
      <c r="C46" s="149">
        <v>106.5</v>
      </c>
      <c r="D46" s="174">
        <f>ROUND(C46*1.1,0)*1.15</f>
        <v>134.54999999999998</v>
      </c>
      <c r="E46" s="176">
        <f t="shared" si="0"/>
        <v>139.93199999999999</v>
      </c>
      <c r="F46" s="150">
        <v>89.285714285714292</v>
      </c>
      <c r="G46" s="151">
        <v>297.61904761904765</v>
      </c>
      <c r="H46" s="151">
        <v>96.726190476190482</v>
      </c>
      <c r="I46" s="151">
        <v>104.16666666666666</v>
      </c>
      <c r="J46" s="151"/>
      <c r="K46" s="151">
        <v>20.77946428571429</v>
      </c>
      <c r="L46" s="151"/>
      <c r="M46" s="151">
        <v>172.20238095238096</v>
      </c>
      <c r="N46" s="151">
        <v>120.53571428571429</v>
      </c>
      <c r="O46" s="151">
        <v>94.047619047619051</v>
      </c>
      <c r="P46" s="151">
        <v>133.92857142857142</v>
      </c>
      <c r="Q46" s="151"/>
      <c r="R46" s="151">
        <v>20.833333333333336</v>
      </c>
      <c r="S46" s="151">
        <v>81.845238095238102</v>
      </c>
      <c r="T46" s="151">
        <v>118.30357142857142</v>
      </c>
      <c r="U46" s="151">
        <v>40.327380952380949</v>
      </c>
      <c r="V46" s="151">
        <v>86.805555555555557</v>
      </c>
      <c r="W46" s="151">
        <v>81.845238095238102</v>
      </c>
      <c r="X46" s="151">
        <v>61.979166666666671</v>
      </c>
      <c r="Y46" s="151">
        <v>48.75</v>
      </c>
      <c r="Z46" s="151">
        <v>130.20833333333334</v>
      </c>
      <c r="AA46" s="151">
        <v>172.20238095238096</v>
      </c>
    </row>
    <row r="47" spans="1:29" ht="16.5" hidden="1" customHeight="1" x14ac:dyDescent="0.2">
      <c r="A47" s="196" t="s">
        <v>128</v>
      </c>
      <c r="B47" s="148" t="s">
        <v>116</v>
      </c>
      <c r="C47" s="148">
        <v>159.75</v>
      </c>
      <c r="D47" s="173">
        <f t="shared" ref="D47:D50" si="6">ROUND(C47*1.1,0)</f>
        <v>176</v>
      </c>
      <c r="E47" s="176">
        <f t="shared" si="0"/>
        <v>183.04000000000002</v>
      </c>
      <c r="F47" s="38">
        <v>126.48809523809524</v>
      </c>
      <c r="G47" s="37">
        <v>148.80952380952382</v>
      </c>
      <c r="H47" s="37">
        <v>181.54761904761904</v>
      </c>
      <c r="I47" s="37">
        <v>208.33333333333331</v>
      </c>
      <c r="J47" s="37">
        <v>212.56696428571428</v>
      </c>
      <c r="K47" s="37">
        <v>220.23809523809524</v>
      </c>
      <c r="L47" s="37">
        <v>141.36904761904762</v>
      </c>
      <c r="M47" s="37">
        <v>245.77380952380952</v>
      </c>
      <c r="N47" s="37">
        <v>156.25</v>
      </c>
      <c r="O47" s="37">
        <v>114.58333333333334</v>
      </c>
      <c r="P47" s="37">
        <v>360.11904761904759</v>
      </c>
      <c r="Q47" s="37">
        <v>196.77083333333331</v>
      </c>
      <c r="R47" s="37">
        <v>297.61904761904765</v>
      </c>
      <c r="S47" s="37">
        <v>163.6904761904762</v>
      </c>
      <c r="T47" s="37">
        <v>75.892857142857139</v>
      </c>
      <c r="U47" s="37"/>
      <c r="V47" s="37"/>
      <c r="W47" s="37">
        <v>238.4672619047619</v>
      </c>
      <c r="X47" s="37">
        <v>947.91666666666674</v>
      </c>
      <c r="Y47" s="37">
        <v>200.89285714285717</v>
      </c>
      <c r="Z47" s="37">
        <v>51.614583333333329</v>
      </c>
      <c r="AA47" s="37">
        <v>245.77380952380952</v>
      </c>
    </row>
    <row r="48" spans="1:29" ht="15" hidden="1" customHeight="1" x14ac:dyDescent="0.2">
      <c r="A48" s="196" t="s">
        <v>129</v>
      </c>
      <c r="B48" s="148" t="s">
        <v>116</v>
      </c>
      <c r="C48" s="148">
        <v>275.44</v>
      </c>
      <c r="D48" s="173">
        <f t="shared" si="6"/>
        <v>303</v>
      </c>
      <c r="E48" s="176">
        <f t="shared" si="0"/>
        <v>315.12</v>
      </c>
      <c r="F48" s="38">
        <v>104.16666666666666</v>
      </c>
      <c r="G48" s="37">
        <v>297.61904761904765</v>
      </c>
      <c r="H48" s="37"/>
      <c r="I48" s="37">
        <v>372.02380952380952</v>
      </c>
      <c r="J48" s="37"/>
      <c r="K48" s="37">
        <v>308.75</v>
      </c>
      <c r="L48" s="37"/>
      <c r="M48" s="37">
        <v>51.5625</v>
      </c>
      <c r="N48" s="37"/>
      <c r="O48" s="37">
        <v>500.26785714285717</v>
      </c>
      <c r="P48" s="37">
        <v>186.01190476190499</v>
      </c>
      <c r="Q48" s="37">
        <v>354.16666666666663</v>
      </c>
      <c r="R48" s="37">
        <v>309.52380952380952</v>
      </c>
      <c r="S48" s="37"/>
      <c r="T48" s="37">
        <v>148.80952380952382</v>
      </c>
      <c r="U48" s="37"/>
      <c r="V48" s="37"/>
      <c r="W48" s="37">
        <v>178.57142857142858</v>
      </c>
      <c r="X48" s="37">
        <v>947.91666666666674</v>
      </c>
      <c r="Y48" s="37">
        <v>27.395833333333336</v>
      </c>
      <c r="Z48" s="37">
        <v>69.322916666666671</v>
      </c>
      <c r="AA48" s="37"/>
    </row>
    <row r="49" spans="1:27" ht="15.75" hidden="1" customHeight="1" x14ac:dyDescent="0.2">
      <c r="A49" s="196" t="s">
        <v>130</v>
      </c>
      <c r="B49" s="148" t="s">
        <v>116</v>
      </c>
      <c r="C49" s="148">
        <v>59.22</v>
      </c>
      <c r="D49" s="173">
        <f t="shared" si="6"/>
        <v>65</v>
      </c>
      <c r="E49" s="176">
        <f t="shared" si="0"/>
        <v>67.600000000000009</v>
      </c>
      <c r="F49" s="38">
        <v>22.321428571428573</v>
      </c>
      <c r="G49" s="37">
        <v>44.642857142857146</v>
      </c>
      <c r="H49" s="37">
        <v>81.845238095238102</v>
      </c>
      <c r="I49" s="37">
        <v>62.5</v>
      </c>
      <c r="J49" s="37">
        <v>65.297619047619051</v>
      </c>
      <c r="K49" s="37">
        <v>76.742857142857147</v>
      </c>
      <c r="L49" s="37">
        <v>55.05952380952381</v>
      </c>
      <c r="M49" s="37">
        <v>57.12797619047619</v>
      </c>
      <c r="N49" s="37">
        <v>59.523809523809526</v>
      </c>
      <c r="O49" s="37">
        <v>65.166666666666671</v>
      </c>
      <c r="P49" s="37">
        <v>40.922619047619051</v>
      </c>
      <c r="Q49" s="37">
        <v>73.258928571428569</v>
      </c>
      <c r="R49" s="37">
        <v>76.785714285714292</v>
      </c>
      <c r="S49" s="37">
        <v>32.8125</v>
      </c>
      <c r="T49" s="37">
        <v>52.083333333333329</v>
      </c>
      <c r="U49" s="37"/>
      <c r="V49" s="37"/>
      <c r="W49" s="37">
        <v>52.083333333333329</v>
      </c>
      <c r="X49" s="37">
        <v>90.625</v>
      </c>
      <c r="Y49" s="37"/>
      <c r="Z49" s="37"/>
      <c r="AA49" s="37">
        <v>57.12797619047619</v>
      </c>
    </row>
    <row r="50" spans="1:27" ht="16.5" hidden="1" customHeight="1" x14ac:dyDescent="0.2">
      <c r="A50" s="196" t="s">
        <v>131</v>
      </c>
      <c r="B50" s="148" t="s">
        <v>116</v>
      </c>
      <c r="C50" s="148">
        <v>68.91</v>
      </c>
      <c r="D50" s="173">
        <f t="shared" si="6"/>
        <v>76</v>
      </c>
      <c r="E50" s="176">
        <f t="shared" si="0"/>
        <v>79.040000000000006</v>
      </c>
      <c r="F50" s="38">
        <v>96.73</v>
      </c>
      <c r="G50" s="37">
        <v>31.25</v>
      </c>
      <c r="H50" s="37">
        <v>45.833333333333329</v>
      </c>
      <c r="I50" s="37">
        <v>52.083333333333329</v>
      </c>
      <c r="J50" s="37">
        <v>74.404761904761912</v>
      </c>
      <c r="K50" s="37">
        <v>86.696428571428584</v>
      </c>
      <c r="L50" s="37">
        <v>62.5</v>
      </c>
      <c r="M50" s="37">
        <v>97.023809523809518</v>
      </c>
      <c r="N50" s="37">
        <v>50.595238095238095</v>
      </c>
      <c r="O50" s="37">
        <v>77.222222222222229</v>
      </c>
      <c r="P50" s="37">
        <v>50.166666666666664</v>
      </c>
      <c r="Q50" s="37">
        <v>79.0625</v>
      </c>
      <c r="R50" s="37">
        <v>86.607142857142861</v>
      </c>
      <c r="S50" s="37">
        <v>4.2559523809523805</v>
      </c>
      <c r="T50" s="37">
        <v>72.916666666666671</v>
      </c>
      <c r="U50" s="37"/>
      <c r="V50" s="37"/>
      <c r="W50" s="37">
        <v>87.5</v>
      </c>
      <c r="X50" s="37">
        <v>88.54</v>
      </c>
      <c r="Y50" s="37"/>
      <c r="Z50" s="37"/>
      <c r="AA50" s="37">
        <v>97.023809523809518</v>
      </c>
    </row>
    <row r="51" spans="1:27" ht="16.5" hidden="1" customHeight="1" x14ac:dyDescent="0.2">
      <c r="A51" s="197" t="s">
        <v>746</v>
      </c>
      <c r="B51" s="149" t="s">
        <v>116</v>
      </c>
      <c r="C51" s="149"/>
      <c r="D51" s="174">
        <f>25*1.15</f>
        <v>28.749999999999996</v>
      </c>
      <c r="E51" s="176">
        <f t="shared" si="0"/>
        <v>29.9</v>
      </c>
      <c r="F51" s="38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</row>
    <row r="52" spans="1:27" ht="16.5" hidden="1" customHeight="1" x14ac:dyDescent="0.2">
      <c r="A52" s="197" t="s">
        <v>156</v>
      </c>
      <c r="B52" s="149" t="s">
        <v>116</v>
      </c>
      <c r="C52" s="149"/>
      <c r="D52" s="174">
        <f>26*1.15</f>
        <v>29.9</v>
      </c>
      <c r="E52" s="176">
        <f t="shared" si="0"/>
        <v>31.096</v>
      </c>
      <c r="F52" s="38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</row>
    <row r="53" spans="1:27" ht="55.5" customHeight="1" x14ac:dyDescent="0.2">
      <c r="A53" s="62" t="s">
        <v>132</v>
      </c>
      <c r="B53" s="59" t="s">
        <v>737</v>
      </c>
      <c r="C53" s="166">
        <v>42.6</v>
      </c>
      <c r="D53" s="103">
        <v>54</v>
      </c>
      <c r="E53" s="176">
        <f t="shared" si="0"/>
        <v>56.160000000000004</v>
      </c>
      <c r="F53" s="38">
        <v>180.79283447726141</v>
      </c>
      <c r="G53" s="37">
        <v>278.16410966892226</v>
      </c>
      <c r="H53" s="37">
        <v>247.85693982541466</v>
      </c>
      <c r="I53" s="37">
        <v>230.25340049780459</v>
      </c>
      <c r="J53" s="37">
        <v>90.641498890284865</v>
      </c>
      <c r="K53" s="37">
        <v>195.57515227536408</v>
      </c>
      <c r="L53" s="37">
        <v>89.39078944690408</v>
      </c>
      <c r="M53" s="37">
        <v>145.68961489168771</v>
      </c>
      <c r="N53" s="37">
        <v>230.20203071875713</v>
      </c>
      <c r="O53" s="37">
        <v>106.00915018090291</v>
      </c>
      <c r="P53" s="37">
        <v>193.28893075020957</v>
      </c>
      <c r="Q53" s="37">
        <v>50.458324601600765</v>
      </c>
      <c r="R53" s="37">
        <v>186.73406210773535</v>
      </c>
      <c r="S53" s="37">
        <v>84.428346054290813</v>
      </c>
      <c r="T53" s="37">
        <v>292.86940783987279</v>
      </c>
      <c r="U53" s="37">
        <v>295.26265150947773</v>
      </c>
      <c r="V53" s="37">
        <v>425.61454647127664</v>
      </c>
      <c r="W53" s="37">
        <v>177.76351335987835</v>
      </c>
      <c r="X53" s="37">
        <v>130.42036235061988</v>
      </c>
      <c r="Y53" s="37">
        <v>266.02613860575224</v>
      </c>
      <c r="Z53" s="37">
        <v>279.67667491913909</v>
      </c>
      <c r="AA53" s="37">
        <v>107.86338019206873</v>
      </c>
    </row>
    <row r="54" spans="1:27" ht="50.25" customHeight="1" x14ac:dyDescent="0.2">
      <c r="A54" s="191" t="s">
        <v>494</v>
      </c>
      <c r="B54" s="59" t="s">
        <v>135</v>
      </c>
      <c r="C54" s="166">
        <v>63.9</v>
      </c>
      <c r="D54" s="103">
        <v>81</v>
      </c>
      <c r="E54" s="176">
        <f t="shared" si="0"/>
        <v>84.240000000000009</v>
      </c>
      <c r="F54" s="38">
        <v>66.301187400000032</v>
      </c>
      <c r="G54" s="37">
        <v>58.165645000000019</v>
      </c>
      <c r="H54" s="37">
        <v>60.602001999999985</v>
      </c>
      <c r="I54" s="37">
        <v>61.536709999999992</v>
      </c>
      <c r="J54" s="37">
        <v>55.245609999999985</v>
      </c>
      <c r="K54" s="37">
        <v>59.462290000000031</v>
      </c>
      <c r="L54" s="37">
        <v>58.671450499999999</v>
      </c>
      <c r="M54" s="37">
        <v>55.257269999999998</v>
      </c>
      <c r="N54" s="37">
        <v>66.000067900000005</v>
      </c>
      <c r="O54" s="37">
        <v>83.019199999999984</v>
      </c>
      <c r="P54" s="37">
        <v>54.835408549999997</v>
      </c>
      <c r="Q54" s="37">
        <v>65.606756224999998</v>
      </c>
      <c r="R54" s="37">
        <v>56.133842300000019</v>
      </c>
      <c r="S54" s="37">
        <v>61.681198600000002</v>
      </c>
      <c r="T54" s="37">
        <v>68.886750000000006</v>
      </c>
      <c r="U54" s="37">
        <v>39.998834999999993</v>
      </c>
      <c r="V54" s="37">
        <v>74.874043400000005</v>
      </c>
      <c r="W54" s="37">
        <v>79.784503999999998</v>
      </c>
      <c r="X54" s="37">
        <v>57.121481778571422</v>
      </c>
      <c r="Y54" s="37">
        <v>49.999879999999997</v>
      </c>
      <c r="Z54" s="37">
        <v>67.063949999999991</v>
      </c>
      <c r="AA54" s="37">
        <v>76.672532150000038</v>
      </c>
    </row>
    <row r="55" spans="1:27" ht="37.5" customHeight="1" x14ac:dyDescent="0.2">
      <c r="A55" s="191" t="s">
        <v>494</v>
      </c>
      <c r="B55" s="59" t="s">
        <v>252</v>
      </c>
      <c r="C55" s="166">
        <v>63.9</v>
      </c>
      <c r="D55" s="103">
        <v>162</v>
      </c>
      <c r="E55" s="176">
        <f t="shared" si="0"/>
        <v>168.48000000000002</v>
      </c>
      <c r="F55" s="38">
        <v>66.301187400000032</v>
      </c>
      <c r="G55" s="37">
        <v>58.165645000000019</v>
      </c>
      <c r="H55" s="37">
        <v>60.602001999999985</v>
      </c>
      <c r="I55" s="37">
        <v>61.536709999999992</v>
      </c>
      <c r="J55" s="37">
        <v>55.245609999999985</v>
      </c>
      <c r="K55" s="37">
        <v>59.462290000000031</v>
      </c>
      <c r="L55" s="37">
        <v>58.671450499999999</v>
      </c>
      <c r="M55" s="37">
        <v>55.257269999999998</v>
      </c>
      <c r="N55" s="37">
        <v>66.000067900000005</v>
      </c>
      <c r="O55" s="37">
        <v>83.019199999999984</v>
      </c>
      <c r="P55" s="37">
        <v>54.835408549999997</v>
      </c>
      <c r="Q55" s="37">
        <v>65.606756224999998</v>
      </c>
      <c r="R55" s="37">
        <v>56.133842300000019</v>
      </c>
      <c r="S55" s="37">
        <v>61.681198600000002</v>
      </c>
      <c r="T55" s="37">
        <v>68.886750000000006</v>
      </c>
      <c r="U55" s="37">
        <v>39.998834999999993</v>
      </c>
      <c r="V55" s="37">
        <v>74.874043400000005</v>
      </c>
      <c r="W55" s="37">
        <v>79.784503999999998</v>
      </c>
      <c r="X55" s="37">
        <v>57.121481778571422</v>
      </c>
      <c r="Y55" s="37">
        <v>49.999879999999997</v>
      </c>
      <c r="Z55" s="37">
        <v>67.063949999999991</v>
      </c>
      <c r="AA55" s="37">
        <v>76.672532150000038</v>
      </c>
    </row>
    <row r="56" spans="1:27" ht="51.75" customHeight="1" x14ac:dyDescent="0.2">
      <c r="A56" s="191" t="s">
        <v>734</v>
      </c>
      <c r="B56" s="59" t="s">
        <v>135</v>
      </c>
      <c r="C56" s="166">
        <v>63.9</v>
      </c>
      <c r="D56" s="103">
        <v>85</v>
      </c>
      <c r="E56" s="176">
        <f t="shared" si="0"/>
        <v>88.4</v>
      </c>
      <c r="F56" s="38">
        <v>66.301187400000032</v>
      </c>
      <c r="G56" s="37">
        <v>58.165645000000019</v>
      </c>
      <c r="H56" s="37">
        <v>60.602001999999985</v>
      </c>
      <c r="I56" s="37">
        <v>61.536709999999992</v>
      </c>
      <c r="J56" s="37">
        <v>55.245609999999985</v>
      </c>
      <c r="K56" s="37">
        <v>59.462290000000031</v>
      </c>
      <c r="L56" s="37">
        <v>58.671450499999999</v>
      </c>
      <c r="M56" s="37">
        <v>55.257269999999998</v>
      </c>
      <c r="N56" s="37">
        <v>66.000067900000005</v>
      </c>
      <c r="O56" s="37">
        <v>83.019199999999984</v>
      </c>
      <c r="P56" s="37">
        <v>54.835408549999997</v>
      </c>
      <c r="Q56" s="37">
        <v>65.606756224999998</v>
      </c>
      <c r="R56" s="37">
        <v>56.133842300000019</v>
      </c>
      <c r="S56" s="37">
        <v>61.681198600000002</v>
      </c>
      <c r="T56" s="37">
        <v>68.886750000000006</v>
      </c>
      <c r="U56" s="37">
        <v>39.998834999999993</v>
      </c>
      <c r="V56" s="37">
        <v>74.874043400000005</v>
      </c>
      <c r="W56" s="37">
        <v>79.784503999999998</v>
      </c>
      <c r="X56" s="37">
        <v>57.121481778571422</v>
      </c>
      <c r="Y56" s="37">
        <v>49.999879999999997</v>
      </c>
      <c r="Z56" s="37">
        <v>67.063949999999991</v>
      </c>
      <c r="AA56" s="37">
        <v>76.672532150000038</v>
      </c>
    </row>
    <row r="57" spans="1:27" ht="51.75" customHeight="1" x14ac:dyDescent="0.2">
      <c r="A57" s="191" t="s">
        <v>734</v>
      </c>
      <c r="B57" s="59" t="s">
        <v>252</v>
      </c>
      <c r="C57" s="166">
        <v>63.9</v>
      </c>
      <c r="D57" s="103">
        <v>170</v>
      </c>
      <c r="E57" s="176">
        <f t="shared" si="0"/>
        <v>176.8</v>
      </c>
      <c r="F57" s="38">
        <v>66.301187400000032</v>
      </c>
      <c r="G57" s="37">
        <v>58.165645000000019</v>
      </c>
      <c r="H57" s="37">
        <v>60.602001999999985</v>
      </c>
      <c r="I57" s="37">
        <v>61.536709999999992</v>
      </c>
      <c r="J57" s="37">
        <v>55.245609999999985</v>
      </c>
      <c r="K57" s="37">
        <v>59.462290000000031</v>
      </c>
      <c r="L57" s="37">
        <v>58.671450499999999</v>
      </c>
      <c r="M57" s="37">
        <v>55.257269999999998</v>
      </c>
      <c r="N57" s="37">
        <v>66.000067900000005</v>
      </c>
      <c r="O57" s="37">
        <v>83.019199999999984</v>
      </c>
      <c r="P57" s="37">
        <v>54.835408549999997</v>
      </c>
      <c r="Q57" s="37">
        <v>65.606756224999998</v>
      </c>
      <c r="R57" s="37">
        <v>56.133842300000019</v>
      </c>
      <c r="S57" s="37">
        <v>61.681198600000002</v>
      </c>
      <c r="T57" s="37">
        <v>68.886750000000006</v>
      </c>
      <c r="U57" s="37">
        <v>39.998834999999993</v>
      </c>
      <c r="V57" s="37">
        <v>74.874043400000005</v>
      </c>
      <c r="W57" s="37">
        <v>79.784503999999998</v>
      </c>
      <c r="X57" s="37">
        <v>57.121481778571422</v>
      </c>
      <c r="Y57" s="37">
        <v>49.999879999999997</v>
      </c>
      <c r="Z57" s="37">
        <v>67.063949999999991</v>
      </c>
      <c r="AA57" s="37">
        <v>76.672532150000038</v>
      </c>
    </row>
    <row r="58" spans="1:27" ht="75.75" customHeight="1" x14ac:dyDescent="0.2">
      <c r="A58" s="65" t="s">
        <v>496</v>
      </c>
      <c r="B58" s="166"/>
      <c r="C58" s="166"/>
      <c r="D58" s="76"/>
      <c r="E58" s="176"/>
      <c r="F58" s="38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</row>
    <row r="59" spans="1:27" ht="15.75" customHeight="1" x14ac:dyDescent="0.2">
      <c r="A59" s="65" t="s">
        <v>495</v>
      </c>
      <c r="B59" s="166" t="s">
        <v>138</v>
      </c>
      <c r="C59" s="166">
        <v>106.5</v>
      </c>
      <c r="D59" s="103">
        <v>135</v>
      </c>
      <c r="E59" s="176">
        <f t="shared" ref="E59:E82" si="7">D59*1.04</f>
        <v>140.4</v>
      </c>
      <c r="F59" s="38">
        <v>52.083333333333329</v>
      </c>
      <c r="G59" s="37">
        <v>234.375</v>
      </c>
      <c r="H59" s="37">
        <v>118.75</v>
      </c>
      <c r="I59" s="37">
        <v>104.5</v>
      </c>
      <c r="J59" s="37">
        <v>96.354166666666657</v>
      </c>
      <c r="K59" s="37">
        <v>261.11015624999999</v>
      </c>
      <c r="L59" s="37">
        <v>117.1875</v>
      </c>
      <c r="M59" s="37">
        <v>116.66666666666666</v>
      </c>
      <c r="N59" s="37">
        <v>208.33333333333331</v>
      </c>
      <c r="O59" s="37">
        <v>25</v>
      </c>
      <c r="P59" s="37">
        <v>27.083333333333336</v>
      </c>
      <c r="Q59" s="37">
        <v>65.104166666666671</v>
      </c>
      <c r="R59" s="37">
        <v>416.66666666666663</v>
      </c>
      <c r="S59" s="37">
        <v>39.0625</v>
      </c>
      <c r="T59" s="37">
        <v>208.33333333333331</v>
      </c>
      <c r="U59" s="37">
        <v>93.75</v>
      </c>
      <c r="V59" s="37"/>
      <c r="W59" s="37">
        <v>43.75</v>
      </c>
      <c r="X59" s="37">
        <v>52.083333333333329</v>
      </c>
      <c r="Y59" s="37">
        <v>79.583333333333329</v>
      </c>
      <c r="Z59" s="37">
        <v>52.083333333333329</v>
      </c>
      <c r="AA59" s="37">
        <v>87.5</v>
      </c>
    </row>
    <row r="60" spans="1:27" ht="16.5" customHeight="1" x14ac:dyDescent="0.2">
      <c r="A60" s="65" t="s">
        <v>139</v>
      </c>
      <c r="B60" s="166" t="s">
        <v>138</v>
      </c>
      <c r="C60" s="166">
        <v>71.36</v>
      </c>
      <c r="D60" s="103">
        <v>90</v>
      </c>
      <c r="E60" s="176">
        <f t="shared" si="7"/>
        <v>93.600000000000009</v>
      </c>
      <c r="F60" s="38">
        <v>52.083333333333329</v>
      </c>
      <c r="G60" s="37">
        <v>224.47916666666669</v>
      </c>
      <c r="H60" s="37">
        <v>97.222222222222214</v>
      </c>
      <c r="I60" s="37">
        <v>75.208333333333329</v>
      </c>
      <c r="J60" s="37">
        <v>90.625</v>
      </c>
      <c r="K60" s="37">
        <v>105.07552083333334</v>
      </c>
      <c r="L60" s="37">
        <v>28.645833333333336</v>
      </c>
      <c r="M60" s="37">
        <v>104.16666666666666</v>
      </c>
      <c r="N60" s="37">
        <v>208.33333333333331</v>
      </c>
      <c r="O60" s="37">
        <v>25</v>
      </c>
      <c r="P60" s="37">
        <v>43.75</v>
      </c>
      <c r="Q60" s="37">
        <v>57.291666666666671</v>
      </c>
      <c r="R60" s="37">
        <v>125</v>
      </c>
      <c r="S60" s="37">
        <v>41.666666666666671</v>
      </c>
      <c r="T60" s="37">
        <v>130.20833333333334</v>
      </c>
      <c r="U60" s="37">
        <v>83.333333333333343</v>
      </c>
      <c r="V60" s="37"/>
      <c r="W60" s="37">
        <v>83.333333333333343</v>
      </c>
      <c r="X60" s="37">
        <v>45.138888888888893</v>
      </c>
      <c r="Y60" s="37">
        <v>48.611111111111107</v>
      </c>
      <c r="Z60" s="37">
        <v>53.880208333333329</v>
      </c>
      <c r="AA60" s="37">
        <v>75.208333333333329</v>
      </c>
    </row>
    <row r="61" spans="1:27" ht="17.25" customHeight="1" outlineLevel="1" x14ac:dyDescent="0.2">
      <c r="A61" s="65" t="s">
        <v>140</v>
      </c>
      <c r="B61" s="166" t="s">
        <v>138</v>
      </c>
      <c r="C61" s="166"/>
      <c r="D61" s="103">
        <v>12</v>
      </c>
      <c r="E61" s="176">
        <f t="shared" si="7"/>
        <v>12.48</v>
      </c>
      <c r="F61" s="38">
        <v>15.625</v>
      </c>
      <c r="G61" s="37">
        <v>15.104166666666668</v>
      </c>
      <c r="H61" s="37">
        <v>18.75</v>
      </c>
      <c r="I61" s="37">
        <v>26.041666666666664</v>
      </c>
      <c r="J61" s="37">
        <v>15.416666666666668</v>
      </c>
      <c r="K61" s="37">
        <v>18.958333333333332</v>
      </c>
      <c r="L61" s="37">
        <v>20.833333333333336</v>
      </c>
      <c r="M61" s="37">
        <v>13.020833333333332</v>
      </c>
      <c r="N61" s="37">
        <v>11.458333333333332</v>
      </c>
      <c r="O61" s="37">
        <v>13.125</v>
      </c>
      <c r="P61" s="37">
        <v>14.166666666666668</v>
      </c>
      <c r="Q61" s="37">
        <v>15.625</v>
      </c>
      <c r="R61" s="37">
        <v>11.145833333333332</v>
      </c>
      <c r="S61" s="37">
        <v>15.625</v>
      </c>
      <c r="T61" s="37">
        <v>11.458333333333332</v>
      </c>
      <c r="U61" s="37">
        <v>2.0833333333333335</v>
      </c>
      <c r="V61" s="37"/>
      <c r="W61" s="37">
        <v>26.041666666666664</v>
      </c>
      <c r="X61" s="37">
        <v>20.833333333333336</v>
      </c>
      <c r="Y61" s="37">
        <v>3.75</v>
      </c>
      <c r="Z61" s="37">
        <v>16.819791666666667</v>
      </c>
      <c r="AA61" s="37">
        <v>13.958333333333332</v>
      </c>
    </row>
    <row r="62" spans="1:27" ht="18.75" customHeight="1" x14ac:dyDescent="0.2">
      <c r="A62" s="65" t="s">
        <v>141</v>
      </c>
      <c r="B62" s="166" t="s">
        <v>138</v>
      </c>
      <c r="C62" s="166">
        <v>85.2</v>
      </c>
      <c r="D62" s="103">
        <v>108</v>
      </c>
      <c r="E62" s="176">
        <f t="shared" si="7"/>
        <v>112.32000000000001</v>
      </c>
      <c r="F62" s="38">
        <v>41.666666666666671</v>
      </c>
      <c r="G62" s="37">
        <v>208.33333333333331</v>
      </c>
      <c r="H62" s="37">
        <v>93.75</v>
      </c>
      <c r="I62" s="37">
        <v>37.5</v>
      </c>
      <c r="J62" s="37">
        <v>90.277777777777786</v>
      </c>
      <c r="K62" s="37">
        <v>155.85312499999998</v>
      </c>
      <c r="L62" s="37">
        <v>86.805555555555557</v>
      </c>
      <c r="M62" s="37">
        <v>86.805555555555557</v>
      </c>
      <c r="N62" s="37">
        <v>138.88888888888889</v>
      </c>
      <c r="O62" s="37">
        <v>25</v>
      </c>
      <c r="P62" s="37">
        <v>41.666666666666671</v>
      </c>
      <c r="Q62" s="37">
        <v>41.666666666666671</v>
      </c>
      <c r="R62" s="37">
        <v>260.42</v>
      </c>
      <c r="S62" s="37">
        <v>57.291666666666671</v>
      </c>
      <c r="T62" s="37">
        <v>149.30555555555554</v>
      </c>
      <c r="U62" s="37">
        <v>86.805555555555557</v>
      </c>
      <c r="V62" s="37">
        <v>15.625</v>
      </c>
      <c r="W62" s="37">
        <v>62.5</v>
      </c>
      <c r="X62" s="37">
        <v>108.74444444444444</v>
      </c>
      <c r="Y62" s="37">
        <v>11.875</v>
      </c>
      <c r="Z62" s="37">
        <v>41.666666666666671</v>
      </c>
      <c r="AA62" s="37">
        <v>84.548611111111114</v>
      </c>
    </row>
    <row r="63" spans="1:27" ht="18" customHeight="1" x14ac:dyDescent="0.2">
      <c r="A63" s="65" t="s">
        <v>142</v>
      </c>
      <c r="B63" s="166" t="s">
        <v>138</v>
      </c>
      <c r="C63" s="166">
        <v>31.95</v>
      </c>
      <c r="D63" s="103">
        <v>40</v>
      </c>
      <c r="E63" s="176">
        <f t="shared" si="7"/>
        <v>41.6</v>
      </c>
      <c r="F63" s="38">
        <v>52.083333333333329</v>
      </c>
      <c r="G63" s="37">
        <v>97.395833333333343</v>
      </c>
      <c r="H63" s="37">
        <v>67.708333333333329</v>
      </c>
      <c r="I63" s="37">
        <v>50</v>
      </c>
      <c r="J63" s="37">
        <v>18.75</v>
      </c>
      <c r="K63" s="37">
        <v>47.223958333333336</v>
      </c>
      <c r="L63" s="37">
        <v>46.875</v>
      </c>
      <c r="M63" s="37">
        <v>47.916666666666671</v>
      </c>
      <c r="N63" s="37">
        <v>62.5</v>
      </c>
      <c r="O63" s="37">
        <v>14.0625</v>
      </c>
      <c r="P63" s="37">
        <v>46.875</v>
      </c>
      <c r="Q63" s="37">
        <v>26.041666666666664</v>
      </c>
      <c r="R63" s="37">
        <v>54.6875</v>
      </c>
      <c r="S63" s="37">
        <v>26.041666666666664</v>
      </c>
      <c r="T63" s="37">
        <v>55.208333333333329</v>
      </c>
      <c r="U63" s="37">
        <v>15.625</v>
      </c>
      <c r="V63" s="37">
        <v>12.5</v>
      </c>
      <c r="W63" s="37">
        <v>46.875</v>
      </c>
      <c r="X63" s="37">
        <v>16.666666666666668</v>
      </c>
      <c r="Y63" s="37">
        <v>16.458333333333332</v>
      </c>
      <c r="Z63" s="37">
        <v>29.166666666666664</v>
      </c>
      <c r="AA63" s="37">
        <v>47.1875</v>
      </c>
    </row>
    <row r="64" spans="1:27" ht="17.25" customHeight="1" x14ac:dyDescent="0.2">
      <c r="A64" s="65" t="s">
        <v>143</v>
      </c>
      <c r="B64" s="166" t="s">
        <v>138</v>
      </c>
      <c r="C64" s="166">
        <v>21.3</v>
      </c>
      <c r="D64" s="103">
        <v>26</v>
      </c>
      <c r="E64" s="176">
        <f t="shared" si="7"/>
        <v>27.04</v>
      </c>
      <c r="F64" s="38">
        <v>20.833333333333336</v>
      </c>
      <c r="G64" s="37">
        <v>130.21</v>
      </c>
      <c r="H64" s="37">
        <v>36.458333333333336</v>
      </c>
      <c r="I64" s="37">
        <v>78.125</v>
      </c>
      <c r="J64" s="37">
        <v>62.5</v>
      </c>
      <c r="K64" s="37">
        <v>73.09375</v>
      </c>
      <c r="L64" s="37">
        <v>18.229166666666668</v>
      </c>
      <c r="M64" s="37">
        <v>46.875</v>
      </c>
      <c r="N64" s="37">
        <v>31.25</v>
      </c>
      <c r="O64" s="37">
        <v>9.2708333333333339</v>
      </c>
      <c r="P64" s="37">
        <v>19.53125</v>
      </c>
      <c r="Q64" s="37">
        <v>20.833333333333336</v>
      </c>
      <c r="R64" s="37">
        <v>104.17</v>
      </c>
      <c r="S64" s="37">
        <v>26.041666666666664</v>
      </c>
      <c r="T64" s="37">
        <v>21.875</v>
      </c>
      <c r="U64" s="37">
        <v>20.833333333333336</v>
      </c>
      <c r="V64" s="37"/>
      <c r="W64" s="37">
        <v>31.25</v>
      </c>
      <c r="X64" s="37">
        <v>20.833333333333336</v>
      </c>
      <c r="Y64" s="37">
        <v>17.777777777777779</v>
      </c>
      <c r="Z64" s="37">
        <v>46.875</v>
      </c>
      <c r="AA64" s="37">
        <v>55.729166666666671</v>
      </c>
    </row>
    <row r="65" spans="1:28" ht="16.5" customHeight="1" x14ac:dyDescent="0.2">
      <c r="A65" s="65" t="s">
        <v>144</v>
      </c>
      <c r="B65" s="166" t="s">
        <v>138</v>
      </c>
      <c r="C65" s="166">
        <v>26.63</v>
      </c>
      <c r="D65" s="103">
        <v>158</v>
      </c>
      <c r="E65" s="176">
        <f t="shared" si="7"/>
        <v>164.32</v>
      </c>
      <c r="F65" s="38">
        <v>31.25</v>
      </c>
      <c r="G65" s="37">
        <v>32.291666666666664</v>
      </c>
      <c r="H65" s="37">
        <v>33.333333333333336</v>
      </c>
      <c r="I65" s="37">
        <v>41.666666666666671</v>
      </c>
      <c r="J65" s="37">
        <v>52.083333333333329</v>
      </c>
      <c r="K65" s="37">
        <v>44.421875</v>
      </c>
      <c r="L65" s="37">
        <v>28.645833333333336</v>
      </c>
      <c r="M65" s="37">
        <v>78.708333333333343</v>
      </c>
      <c r="N65" s="37">
        <v>52.083333333333329</v>
      </c>
      <c r="O65" s="37">
        <v>34.375</v>
      </c>
      <c r="P65" s="37">
        <v>44.64</v>
      </c>
      <c r="Q65" s="37">
        <v>30.729166666666664</v>
      </c>
      <c r="R65" s="37">
        <v>29.270833333333336</v>
      </c>
      <c r="S65" s="37">
        <v>30.208333333333336</v>
      </c>
      <c r="T65" s="37">
        <v>29.17</v>
      </c>
      <c r="U65" s="37">
        <v>58.333333333333329</v>
      </c>
      <c r="V65" s="37">
        <v>23.4375</v>
      </c>
      <c r="W65" s="37">
        <v>52.083333333333329</v>
      </c>
      <c r="X65" s="37">
        <v>26.041666666666664</v>
      </c>
      <c r="Y65" s="37">
        <v>50</v>
      </c>
      <c r="Z65" s="37">
        <v>44.928125000000001</v>
      </c>
      <c r="AA65" s="37">
        <v>78.64500000000001</v>
      </c>
    </row>
    <row r="66" spans="1:28" ht="16.5" hidden="1" customHeight="1" outlineLevel="1" x14ac:dyDescent="0.2">
      <c r="A66" s="65" t="s">
        <v>145</v>
      </c>
      <c r="B66" s="166" t="s">
        <v>138</v>
      </c>
      <c r="C66" s="166"/>
      <c r="D66" s="103">
        <f t="shared" ref="D66:D68" si="8">ROUND(C66*1.1,0)</f>
        <v>0</v>
      </c>
      <c r="E66" s="176">
        <f t="shared" si="7"/>
        <v>0</v>
      </c>
      <c r="F66" s="38">
        <v>31.25</v>
      </c>
      <c r="G66" s="37">
        <v>31.875</v>
      </c>
      <c r="H66" s="37">
        <v>33.333333333333336</v>
      </c>
      <c r="I66" s="37">
        <v>31.25</v>
      </c>
      <c r="J66" s="37">
        <v>33.333333333333336</v>
      </c>
      <c r="K66" s="37">
        <v>32.200000000000003</v>
      </c>
      <c r="L66" s="37">
        <v>28.645833333333336</v>
      </c>
      <c r="M66" s="37">
        <v>33.333333333333336</v>
      </c>
      <c r="N66" s="37">
        <v>52.083333333333329</v>
      </c>
      <c r="O66" s="37">
        <v>16.5625</v>
      </c>
      <c r="P66" s="37">
        <v>43.125</v>
      </c>
      <c r="Q66" s="37">
        <v>30.729166666666664</v>
      </c>
      <c r="R66" s="37">
        <v>29.270833333333336</v>
      </c>
      <c r="S66" s="37">
        <v>30.208333333333336</v>
      </c>
      <c r="T66" s="37">
        <v>29.166666666666664</v>
      </c>
      <c r="U66" s="37">
        <v>11.614583333333332</v>
      </c>
      <c r="V66" s="37">
        <v>23.4375</v>
      </c>
      <c r="W66" s="37">
        <v>41.666666666666671</v>
      </c>
      <c r="X66" s="37">
        <v>26.041666666666664</v>
      </c>
      <c r="Y66" s="37">
        <v>10.729166666666668</v>
      </c>
      <c r="Z66" s="37">
        <v>33.139583333333334</v>
      </c>
      <c r="AA66" s="37">
        <v>32.5</v>
      </c>
    </row>
    <row r="67" spans="1:28" ht="17.25" hidden="1" customHeight="1" outlineLevel="1" x14ac:dyDescent="0.2">
      <c r="A67" s="65" t="s">
        <v>146</v>
      </c>
      <c r="B67" s="166" t="s">
        <v>138</v>
      </c>
      <c r="C67" s="166"/>
      <c r="D67" s="103">
        <f t="shared" si="8"/>
        <v>0</v>
      </c>
      <c r="E67" s="176">
        <f t="shared" si="7"/>
        <v>0</v>
      </c>
      <c r="F67" s="38">
        <v>26.041666666666664</v>
      </c>
      <c r="G67" s="37">
        <v>15.416666666666668</v>
      </c>
      <c r="H67" s="37">
        <v>10.9375</v>
      </c>
      <c r="I67" s="37">
        <v>20.833333333333336</v>
      </c>
      <c r="J67" s="37">
        <v>22.916666666666664</v>
      </c>
      <c r="K67" s="37">
        <v>21.607291666666665</v>
      </c>
      <c r="L67" s="37">
        <v>14.0625</v>
      </c>
      <c r="M67" s="37">
        <v>21.875</v>
      </c>
      <c r="N67" s="37">
        <v>41.666666666666671</v>
      </c>
      <c r="O67" s="37">
        <v>9.7916666666666661</v>
      </c>
      <c r="P67" s="37">
        <v>24.270833333333336</v>
      </c>
      <c r="Q67" s="37">
        <v>16.666666666666668</v>
      </c>
      <c r="R67" s="37">
        <v>20.833333333333336</v>
      </c>
      <c r="S67" s="37">
        <v>15.416666666666668</v>
      </c>
      <c r="T67" s="37">
        <v>20.833333333333336</v>
      </c>
      <c r="U67" s="37">
        <v>7.8125</v>
      </c>
      <c r="V67" s="37">
        <v>17.1875</v>
      </c>
      <c r="W67" s="37">
        <v>17.708333333333332</v>
      </c>
      <c r="X67" s="37">
        <v>12.5</v>
      </c>
      <c r="Y67" s="37">
        <v>11.979166666666668</v>
      </c>
      <c r="Z67" s="37">
        <v>21.743749999999999</v>
      </c>
      <c r="AA67" s="37">
        <v>21.666666666666664</v>
      </c>
    </row>
    <row r="68" spans="1:28" ht="18" hidden="1" customHeight="1" outlineLevel="1" x14ac:dyDescent="0.2">
      <c r="A68" s="65" t="s">
        <v>147</v>
      </c>
      <c r="B68" s="166" t="s">
        <v>138</v>
      </c>
      <c r="C68" s="166"/>
      <c r="D68" s="103">
        <f t="shared" si="8"/>
        <v>0</v>
      </c>
      <c r="E68" s="176">
        <f t="shared" si="7"/>
        <v>0</v>
      </c>
      <c r="F68" s="38">
        <v>7.8125</v>
      </c>
      <c r="G68" s="37">
        <v>6.7708333333333339</v>
      </c>
      <c r="H68" s="37">
        <v>7.2916666666666661</v>
      </c>
      <c r="I68" s="37">
        <v>9.0625</v>
      </c>
      <c r="J68" s="37">
        <v>8.8541666666666661</v>
      </c>
      <c r="K68" s="37">
        <v>9.0760416666666668</v>
      </c>
      <c r="L68" s="37">
        <v>5.9375</v>
      </c>
      <c r="M68" s="37">
        <v>8.9583333333333339</v>
      </c>
      <c r="N68" s="37">
        <v>16.666666666666668</v>
      </c>
      <c r="O68" s="37">
        <v>4.270833333333333</v>
      </c>
      <c r="P68" s="37">
        <v>11.458333333333332</v>
      </c>
      <c r="Q68" s="37">
        <v>9.375</v>
      </c>
      <c r="R68" s="37">
        <v>8.125</v>
      </c>
      <c r="S68" s="37">
        <v>7.2916666666666661</v>
      </c>
      <c r="T68" s="37">
        <v>8.125</v>
      </c>
      <c r="U68" s="37">
        <v>2.604166666666667</v>
      </c>
      <c r="V68" s="37">
        <v>7.03125</v>
      </c>
      <c r="W68" s="37">
        <v>10.416666666666668</v>
      </c>
      <c r="X68" s="37">
        <v>8.3333333333333339</v>
      </c>
      <c r="Y68" s="37">
        <v>2.916666666666667</v>
      </c>
      <c r="Z68" s="37">
        <v>8.9833333333333325</v>
      </c>
      <c r="AA68" s="37">
        <v>8.9583333333333339</v>
      </c>
    </row>
    <row r="69" spans="1:28" ht="18.75" hidden="1" customHeight="1" collapsed="1" x14ac:dyDescent="0.2">
      <c r="A69" s="198" t="s">
        <v>148</v>
      </c>
      <c r="B69" s="77" t="s">
        <v>138</v>
      </c>
      <c r="C69" s="77">
        <v>19.43</v>
      </c>
      <c r="D69" s="175">
        <f t="shared" ref="D69:D77" si="9">ROUND(C69*1.1,0)*1.15</f>
        <v>24.15</v>
      </c>
      <c r="E69" s="176">
        <f t="shared" si="7"/>
        <v>25.116</v>
      </c>
      <c r="F69" s="38">
        <v>20.833333333333336</v>
      </c>
      <c r="G69" s="37">
        <v>24.6875</v>
      </c>
      <c r="H69" s="37">
        <v>11.458333333333332</v>
      </c>
      <c r="I69" s="37">
        <v>21.875</v>
      </c>
      <c r="J69" s="37">
        <v>10.416666666666668</v>
      </c>
      <c r="K69" s="37">
        <v>44.421875</v>
      </c>
      <c r="L69" s="37">
        <v>5.2083333333333339</v>
      </c>
      <c r="M69" s="37">
        <v>45.3125</v>
      </c>
      <c r="N69" s="37">
        <v>20.833333333333336</v>
      </c>
      <c r="O69" s="37">
        <v>34.375</v>
      </c>
      <c r="P69" s="37">
        <v>13.645833333333332</v>
      </c>
      <c r="Q69" s="37">
        <v>12.239583333333332</v>
      </c>
      <c r="R69" s="37">
        <v>4.583333333333333</v>
      </c>
      <c r="S69" s="37">
        <v>16.458333333333332</v>
      </c>
      <c r="T69" s="37">
        <v>20.833333333333336</v>
      </c>
      <c r="U69" s="37">
        <v>6.9444444444444446</v>
      </c>
      <c r="V69" s="37"/>
      <c r="W69" s="37">
        <v>15.625</v>
      </c>
      <c r="X69" s="37">
        <v>6.25</v>
      </c>
      <c r="Y69" s="37">
        <v>4.583333333333333</v>
      </c>
      <c r="Z69" s="37">
        <v>44.928125000000001</v>
      </c>
      <c r="AA69" s="37">
        <v>22.447916666666664</v>
      </c>
      <c r="AB69" s="127"/>
    </row>
    <row r="70" spans="1:28" ht="18" hidden="1" customHeight="1" x14ac:dyDescent="0.2">
      <c r="A70" s="198" t="s">
        <v>149</v>
      </c>
      <c r="B70" s="77" t="s">
        <v>138</v>
      </c>
      <c r="C70" s="77">
        <v>9.08</v>
      </c>
      <c r="D70" s="175">
        <f t="shared" si="9"/>
        <v>11.5</v>
      </c>
      <c r="E70" s="176">
        <f t="shared" si="7"/>
        <v>11.96</v>
      </c>
      <c r="F70" s="38">
        <v>15.625</v>
      </c>
      <c r="G70" s="37">
        <v>7.8125</v>
      </c>
      <c r="H70" s="37">
        <v>5.7291666666666661</v>
      </c>
      <c r="I70" s="37">
        <v>11.979166666666668</v>
      </c>
      <c r="J70" s="37">
        <v>4.791666666666667</v>
      </c>
      <c r="K70" s="37">
        <v>24.108333333333331</v>
      </c>
      <c r="L70" s="37">
        <v>3.125</v>
      </c>
      <c r="M70" s="37">
        <v>13.020833333333332</v>
      </c>
      <c r="N70" s="37">
        <v>20.833333333333336</v>
      </c>
      <c r="O70" s="37">
        <v>6.875</v>
      </c>
      <c r="P70" s="37">
        <v>12.96875</v>
      </c>
      <c r="Q70" s="37">
        <v>9.375</v>
      </c>
      <c r="R70" s="37">
        <v>2.8125</v>
      </c>
      <c r="S70" s="37">
        <v>6.25</v>
      </c>
      <c r="T70" s="37">
        <v>5.2083333333333339</v>
      </c>
      <c r="U70" s="37">
        <v>10.416666666666668</v>
      </c>
      <c r="V70" s="37">
        <v>4.6875</v>
      </c>
      <c r="W70" s="37">
        <v>8.3333333333333339</v>
      </c>
      <c r="X70" s="37">
        <v>6.25</v>
      </c>
      <c r="Y70" s="37">
        <v>4.583333333333333</v>
      </c>
      <c r="Z70" s="37">
        <v>8.5458333333333343</v>
      </c>
      <c r="AA70" s="37">
        <v>6.5104166666666661</v>
      </c>
      <c r="AB70" s="127"/>
    </row>
    <row r="71" spans="1:28" ht="19.5" hidden="1" customHeight="1" x14ac:dyDescent="0.2">
      <c r="A71" s="198" t="s">
        <v>150</v>
      </c>
      <c r="B71" s="77" t="s">
        <v>138</v>
      </c>
      <c r="C71" s="77">
        <v>13.81</v>
      </c>
      <c r="D71" s="175">
        <f t="shared" si="9"/>
        <v>17.25</v>
      </c>
      <c r="E71" s="176">
        <f t="shared" si="7"/>
        <v>17.940000000000001</v>
      </c>
      <c r="F71" s="38">
        <v>6.25</v>
      </c>
      <c r="G71" s="37">
        <v>11.25</v>
      </c>
      <c r="H71" s="37">
        <v>8.75</v>
      </c>
      <c r="I71" s="37">
        <v>20.833333333333336</v>
      </c>
      <c r="J71" s="37">
        <v>10.763888888888889</v>
      </c>
      <c r="K71" s="37">
        <v>16.796250000000001</v>
      </c>
      <c r="L71" s="37">
        <v>9.375</v>
      </c>
      <c r="M71" s="37">
        <v>17.083333333333332</v>
      </c>
      <c r="N71" s="37">
        <v>10.416666666666668</v>
      </c>
      <c r="O71" s="37">
        <v>12.152777777777777</v>
      </c>
      <c r="P71" s="37">
        <v>5.4166666666666661</v>
      </c>
      <c r="Q71" s="37">
        <v>19.097222222222221</v>
      </c>
      <c r="R71" s="37">
        <v>8.90625</v>
      </c>
      <c r="S71" s="37">
        <v>6.6666666666666661</v>
      </c>
      <c r="T71" s="37">
        <v>10.416666666666668</v>
      </c>
      <c r="U71" s="37">
        <v>10.916666666666666</v>
      </c>
      <c r="V71" s="37">
        <v>7.8125</v>
      </c>
      <c r="W71" s="37">
        <v>14.583333333333332</v>
      </c>
      <c r="X71" s="37">
        <v>11.71875</v>
      </c>
      <c r="Y71" s="37">
        <v>35.416666666666664</v>
      </c>
      <c r="Z71" s="37">
        <v>28.12777777777778</v>
      </c>
      <c r="AA71" s="37">
        <v>21.09375</v>
      </c>
      <c r="AB71" s="127"/>
    </row>
    <row r="72" spans="1:28" ht="19.5" hidden="1" customHeight="1" x14ac:dyDescent="0.2">
      <c r="A72" s="198" t="s">
        <v>151</v>
      </c>
      <c r="B72" s="77" t="s">
        <v>138</v>
      </c>
      <c r="C72" s="77">
        <v>16.14</v>
      </c>
      <c r="D72" s="175">
        <f t="shared" si="9"/>
        <v>20.7</v>
      </c>
      <c r="E72" s="176">
        <f t="shared" si="7"/>
        <v>21.527999999999999</v>
      </c>
      <c r="F72" s="38">
        <v>14.583333333333332</v>
      </c>
      <c r="G72" s="37">
        <v>26.25</v>
      </c>
      <c r="H72" s="37">
        <v>12.083333333333332</v>
      </c>
      <c r="I72" s="37">
        <v>13.958333333333332</v>
      </c>
      <c r="J72" s="37">
        <v>15.104166666666668</v>
      </c>
      <c r="K72" s="37">
        <v>14.083749999999998</v>
      </c>
      <c r="L72" s="37"/>
      <c r="M72" s="37">
        <v>6.875</v>
      </c>
      <c r="N72" s="37">
        <v>50</v>
      </c>
      <c r="O72" s="37">
        <v>13.020833333333332</v>
      </c>
      <c r="P72" s="37">
        <v>18.479166666666668</v>
      </c>
      <c r="Q72" s="37">
        <v>16.927083333333332</v>
      </c>
      <c r="R72" s="37">
        <v>7.25</v>
      </c>
      <c r="S72" s="37"/>
      <c r="T72" s="37">
        <v>12.5</v>
      </c>
      <c r="U72" s="37">
        <v>11.458333333333332</v>
      </c>
      <c r="V72" s="37">
        <v>5.2083333333333339</v>
      </c>
      <c r="W72" s="37">
        <v>16.666666666666668</v>
      </c>
      <c r="X72" s="37">
        <v>18.75</v>
      </c>
      <c r="Y72" s="37"/>
      <c r="Z72" s="37">
        <v>17.361111111111111</v>
      </c>
      <c r="AA72" s="37"/>
      <c r="AB72" s="127"/>
    </row>
    <row r="73" spans="1:28" ht="19.5" hidden="1" customHeight="1" x14ac:dyDescent="0.2">
      <c r="A73" s="198" t="s">
        <v>152</v>
      </c>
      <c r="B73" s="77" t="s">
        <v>138</v>
      </c>
      <c r="C73" s="77">
        <v>13.02</v>
      </c>
      <c r="D73" s="175">
        <f t="shared" si="9"/>
        <v>16.099999999999998</v>
      </c>
      <c r="E73" s="176">
        <f t="shared" si="7"/>
        <v>16.744</v>
      </c>
      <c r="F73" s="38">
        <v>10.416666666666668</v>
      </c>
      <c r="G73" s="37">
        <v>6.4583333333333339</v>
      </c>
      <c r="H73" s="37">
        <v>9.5833333333333339</v>
      </c>
      <c r="I73" s="37">
        <v>13.958333333333332</v>
      </c>
      <c r="J73" s="37">
        <v>11.71875</v>
      </c>
      <c r="K73" s="37">
        <v>14.083749999999998</v>
      </c>
      <c r="L73" s="37">
        <v>9.1145833333333339</v>
      </c>
      <c r="M73" s="37">
        <v>6.541666666666667</v>
      </c>
      <c r="N73" s="37">
        <v>16.666666666666668</v>
      </c>
      <c r="O73" s="37">
        <v>9.8958333333333339</v>
      </c>
      <c r="P73" s="37">
        <v>16.458333333333332</v>
      </c>
      <c r="Q73" s="37">
        <v>7.8125</v>
      </c>
      <c r="R73" s="37">
        <v>7.25</v>
      </c>
      <c r="S73" s="37">
        <v>10.416666666666668</v>
      </c>
      <c r="T73" s="37">
        <v>10.416666666666668</v>
      </c>
      <c r="U73" s="37"/>
      <c r="V73" s="37"/>
      <c r="W73" s="37">
        <v>31.25</v>
      </c>
      <c r="X73" s="37">
        <v>8.3333333333333339</v>
      </c>
      <c r="Y73" s="37">
        <v>29.9375</v>
      </c>
      <c r="Z73" s="37">
        <v>23.529513888888886</v>
      </c>
      <c r="AA73" s="37">
        <v>6.5143750000000002</v>
      </c>
      <c r="AB73" s="127"/>
    </row>
    <row r="74" spans="1:28" ht="19.5" hidden="1" customHeight="1" x14ac:dyDescent="0.2">
      <c r="A74" s="198" t="s">
        <v>153</v>
      </c>
      <c r="B74" s="77" t="s">
        <v>138</v>
      </c>
      <c r="C74" s="77">
        <v>14.44</v>
      </c>
      <c r="D74" s="175">
        <f t="shared" si="9"/>
        <v>18.399999999999999</v>
      </c>
      <c r="E74" s="176">
        <f t="shared" si="7"/>
        <v>19.135999999999999</v>
      </c>
      <c r="F74" s="38">
        <v>13.541666666666668</v>
      </c>
      <c r="G74" s="37">
        <v>10.208333333333332</v>
      </c>
      <c r="H74" s="37">
        <v>14.583333333333332</v>
      </c>
      <c r="I74" s="37">
        <v>13.958333333333332</v>
      </c>
      <c r="J74" s="37">
        <v>16.927083333333332</v>
      </c>
      <c r="K74" s="37">
        <v>14.083749999999998</v>
      </c>
      <c r="L74" s="37">
        <v>10.9375</v>
      </c>
      <c r="M74" s="37">
        <v>8.6458333333333339</v>
      </c>
      <c r="N74" s="37">
        <v>14.583333333333332</v>
      </c>
      <c r="O74" s="37">
        <v>7.8125</v>
      </c>
      <c r="P74" s="37">
        <v>10.15625</v>
      </c>
      <c r="Q74" s="37">
        <v>16.927083333333332</v>
      </c>
      <c r="R74" s="37">
        <v>5.8958333333333339</v>
      </c>
      <c r="S74" s="37"/>
      <c r="T74" s="37">
        <v>8.3333333333333339</v>
      </c>
      <c r="U74" s="37">
        <v>58.333333333333329</v>
      </c>
      <c r="V74" s="37"/>
      <c r="W74" s="37">
        <v>18.75</v>
      </c>
      <c r="X74" s="37">
        <v>5.2083333333333339</v>
      </c>
      <c r="Y74" s="37"/>
      <c r="Z74" s="37">
        <v>11.111111111111111</v>
      </c>
      <c r="AA74" s="37"/>
      <c r="AB74" s="127"/>
    </row>
    <row r="75" spans="1:28" ht="19.5" hidden="1" customHeight="1" x14ac:dyDescent="0.2">
      <c r="A75" s="198" t="s">
        <v>154</v>
      </c>
      <c r="B75" s="77" t="s">
        <v>138</v>
      </c>
      <c r="C75" s="77">
        <v>12.39</v>
      </c>
      <c r="D75" s="175">
        <f t="shared" si="9"/>
        <v>16.099999999999998</v>
      </c>
      <c r="E75" s="176">
        <f t="shared" si="7"/>
        <v>16.744</v>
      </c>
      <c r="F75" s="38">
        <v>10.416666666666668</v>
      </c>
      <c r="G75" s="37">
        <v>5.166666666666667</v>
      </c>
      <c r="H75" s="37">
        <v>19.166666666666668</v>
      </c>
      <c r="I75" s="37">
        <v>16.666666666666668</v>
      </c>
      <c r="J75" s="37">
        <v>12.5</v>
      </c>
      <c r="K75" s="37">
        <v>8.25</v>
      </c>
      <c r="L75" s="37">
        <v>9.375</v>
      </c>
      <c r="M75" s="37">
        <v>7.8125</v>
      </c>
      <c r="N75" s="37">
        <v>15.625</v>
      </c>
      <c r="O75" s="37">
        <v>23.5</v>
      </c>
      <c r="P75" s="37">
        <v>6.7317708333333339</v>
      </c>
      <c r="Q75" s="37">
        <v>4.166666666666667</v>
      </c>
      <c r="R75" s="37">
        <v>15.9375</v>
      </c>
      <c r="S75" s="37">
        <v>6.6041666666666661</v>
      </c>
      <c r="T75" s="37">
        <v>10.416666666666668</v>
      </c>
      <c r="U75" s="37">
        <v>4.166666666666667</v>
      </c>
      <c r="V75" s="37">
        <v>3.255208333333333</v>
      </c>
      <c r="W75" s="37">
        <v>10.416666666666668</v>
      </c>
      <c r="X75" s="37">
        <v>6.875</v>
      </c>
      <c r="Y75" s="37">
        <v>50</v>
      </c>
      <c r="Z75" s="37">
        <v>17.708333333333332</v>
      </c>
      <c r="AA75" s="37">
        <v>7.7745833333333341</v>
      </c>
      <c r="AB75" s="127"/>
    </row>
    <row r="76" spans="1:28" ht="19.5" hidden="1" customHeight="1" x14ac:dyDescent="0.2">
      <c r="A76" s="198" t="s">
        <v>155</v>
      </c>
      <c r="B76" s="77" t="s">
        <v>138</v>
      </c>
      <c r="C76" s="77">
        <v>22.58</v>
      </c>
      <c r="D76" s="175">
        <f t="shared" si="9"/>
        <v>28.749999999999996</v>
      </c>
      <c r="E76" s="176">
        <f t="shared" si="7"/>
        <v>29.9</v>
      </c>
      <c r="F76" s="38">
        <v>10.416666666666668</v>
      </c>
      <c r="G76" s="37">
        <v>15.625</v>
      </c>
      <c r="H76" s="37">
        <v>12.916666666666668</v>
      </c>
      <c r="I76" s="37">
        <v>41.666666666666671</v>
      </c>
      <c r="J76" s="37">
        <v>31.25</v>
      </c>
      <c r="K76" s="37">
        <v>7.3604166666666675</v>
      </c>
      <c r="L76" s="37">
        <v>7.2916666666666661</v>
      </c>
      <c r="M76" s="37">
        <v>78.708333333333343</v>
      </c>
      <c r="N76" s="37">
        <v>6.25</v>
      </c>
      <c r="O76" s="37">
        <v>10.416666666666668</v>
      </c>
      <c r="P76" s="37">
        <v>46.875</v>
      </c>
      <c r="Q76" s="37">
        <v>6.25</v>
      </c>
      <c r="R76" s="37">
        <v>17.708333333333332</v>
      </c>
      <c r="S76" s="37">
        <v>14.583333333333332</v>
      </c>
      <c r="T76" s="37">
        <v>14.583333333333332</v>
      </c>
      <c r="U76" s="37"/>
      <c r="V76" s="37"/>
      <c r="W76" s="37">
        <v>12.5</v>
      </c>
      <c r="X76" s="37">
        <v>7.2916666666666661</v>
      </c>
      <c r="Y76" s="37"/>
      <c r="Z76" s="37">
        <v>8.6805555555555554</v>
      </c>
      <c r="AA76" s="37">
        <v>78.64500000000001</v>
      </c>
      <c r="AB76" s="298" t="s">
        <v>603</v>
      </c>
    </row>
    <row r="77" spans="1:28" ht="15.75" hidden="1" customHeight="1" x14ac:dyDescent="0.2">
      <c r="A77" s="198" t="s">
        <v>156</v>
      </c>
      <c r="B77" s="77" t="s">
        <v>138</v>
      </c>
      <c r="C77" s="77">
        <v>23.69</v>
      </c>
      <c r="D77" s="175">
        <f t="shared" si="9"/>
        <v>29.9</v>
      </c>
      <c r="E77" s="176">
        <f t="shared" si="7"/>
        <v>31.096</v>
      </c>
      <c r="F77" s="38">
        <v>20.833333333333336</v>
      </c>
      <c r="G77" s="37">
        <v>32.291666666666664</v>
      </c>
      <c r="H77" s="37">
        <v>20.833333333333336</v>
      </c>
      <c r="I77" s="37">
        <v>12.916666666666668</v>
      </c>
      <c r="J77" s="37">
        <v>52.083333333333329</v>
      </c>
      <c r="K77" s="37"/>
      <c r="L77" s="37"/>
      <c r="M77" s="37">
        <v>6.25</v>
      </c>
      <c r="N77" s="37">
        <v>41.666666666666671</v>
      </c>
      <c r="O77" s="37">
        <v>14.583333333333332</v>
      </c>
      <c r="P77" s="37">
        <v>44.64</v>
      </c>
      <c r="Q77" s="37">
        <v>25</v>
      </c>
      <c r="R77" s="37">
        <v>8.9930555555555554</v>
      </c>
      <c r="S77" s="37">
        <v>13.125</v>
      </c>
      <c r="T77" s="37">
        <v>14.583333333333332</v>
      </c>
      <c r="U77" s="37"/>
      <c r="V77" s="37"/>
      <c r="W77" s="37">
        <v>52.083333333333329</v>
      </c>
      <c r="X77" s="37">
        <v>10.416666666666668</v>
      </c>
      <c r="Y77" s="37"/>
      <c r="Z77" s="37">
        <v>8.6805555555555554</v>
      </c>
      <c r="AA77" s="37"/>
      <c r="AB77" s="298"/>
    </row>
    <row r="78" spans="1:28" ht="43.5" customHeight="1" x14ac:dyDescent="0.2">
      <c r="A78" s="65" t="s">
        <v>157</v>
      </c>
      <c r="B78" s="166"/>
      <c r="C78" s="166"/>
      <c r="D78" s="166"/>
      <c r="E78" s="176">
        <f t="shared" si="7"/>
        <v>0</v>
      </c>
      <c r="F78" s="38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</row>
    <row r="79" spans="1:28" ht="18.75" customHeight="1" x14ac:dyDescent="0.2">
      <c r="A79" s="65" t="s">
        <v>158</v>
      </c>
      <c r="B79" s="166" t="s">
        <v>32</v>
      </c>
      <c r="C79" s="166">
        <v>74.55</v>
      </c>
      <c r="D79" s="103">
        <v>94</v>
      </c>
      <c r="E79" s="176">
        <f t="shared" si="7"/>
        <v>97.76</v>
      </c>
      <c r="F79" s="38">
        <v>198.61327280138534</v>
      </c>
      <c r="G79" s="37">
        <v>222.64111667485014</v>
      </c>
      <c r="H79" s="37">
        <v>193.37565268070276</v>
      </c>
      <c r="I79" s="37">
        <v>171.80654837425089</v>
      </c>
      <c r="J79" s="37">
        <v>112.63860807408849</v>
      </c>
      <c r="K79" s="37">
        <v>159.61201090130285</v>
      </c>
      <c r="L79" s="37">
        <v>177.91118287644224</v>
      </c>
      <c r="M79" s="37">
        <v>156.27151425639158</v>
      </c>
      <c r="N79" s="37">
        <v>106.85039961053057</v>
      </c>
      <c r="O79" s="37">
        <v>189.94077512228165</v>
      </c>
      <c r="P79" s="37">
        <v>124.24392764206635</v>
      </c>
      <c r="Q79" s="37">
        <v>146.77773740695</v>
      </c>
      <c r="R79" s="37">
        <v>138.46299244017393</v>
      </c>
      <c r="S79" s="37">
        <v>129.88172968349596</v>
      </c>
      <c r="T79" s="37">
        <v>99.545784274883147</v>
      </c>
      <c r="U79" s="37">
        <v>120.18286249630926</v>
      </c>
      <c r="V79" s="37">
        <v>143.64266326126307</v>
      </c>
      <c r="W79" s="37">
        <v>119.15905566927933</v>
      </c>
      <c r="X79" s="37">
        <v>112.46973973181086</v>
      </c>
      <c r="Y79" s="37">
        <v>117.27</v>
      </c>
      <c r="Z79" s="37">
        <v>151.25778963985073</v>
      </c>
      <c r="AA79" s="37">
        <v>132.53288937985175</v>
      </c>
    </row>
    <row r="80" spans="1:28" ht="18.75" customHeight="1" x14ac:dyDescent="0.2">
      <c r="A80" s="65" t="s">
        <v>497</v>
      </c>
      <c r="B80" s="166" t="s">
        <v>32</v>
      </c>
      <c r="C80" s="166"/>
      <c r="D80" s="103">
        <v>141</v>
      </c>
      <c r="E80" s="176">
        <f t="shared" si="7"/>
        <v>146.64000000000001</v>
      </c>
      <c r="F80" s="38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</row>
    <row r="81" spans="1:28" ht="18.75" customHeight="1" x14ac:dyDescent="0.2">
      <c r="A81" s="65" t="s">
        <v>640</v>
      </c>
      <c r="B81" s="166" t="s">
        <v>32</v>
      </c>
      <c r="C81" s="166">
        <v>74.55</v>
      </c>
      <c r="D81" s="103">
        <v>94</v>
      </c>
      <c r="E81" s="176">
        <f t="shared" si="7"/>
        <v>97.76</v>
      </c>
      <c r="F81" s="38">
        <v>198.61327280138534</v>
      </c>
      <c r="G81" s="37">
        <v>222.64111667485014</v>
      </c>
      <c r="H81" s="37">
        <v>193.37565268070276</v>
      </c>
      <c r="I81" s="37">
        <v>171.80654837425089</v>
      </c>
      <c r="J81" s="37">
        <v>112.63860807408849</v>
      </c>
      <c r="K81" s="37">
        <v>159.61201090130285</v>
      </c>
      <c r="L81" s="37">
        <v>177.91118287644224</v>
      </c>
      <c r="M81" s="37">
        <v>156.27151425639158</v>
      </c>
      <c r="N81" s="37">
        <v>106.85039961053057</v>
      </c>
      <c r="O81" s="37">
        <v>189.94077512228165</v>
      </c>
      <c r="P81" s="37">
        <v>124.24392764206635</v>
      </c>
      <c r="Q81" s="37">
        <v>146.77773740695</v>
      </c>
      <c r="R81" s="37">
        <v>138.46299244017393</v>
      </c>
      <c r="S81" s="37">
        <v>129.88172968349596</v>
      </c>
      <c r="T81" s="37">
        <v>99.545784274883147</v>
      </c>
      <c r="U81" s="37">
        <v>120.18286249630926</v>
      </c>
      <c r="V81" s="37">
        <v>143.64266326126307</v>
      </c>
      <c r="W81" s="37">
        <v>119.15905566927933</v>
      </c>
      <c r="X81" s="37">
        <v>112.46973973181086</v>
      </c>
      <c r="Y81" s="37">
        <v>117.26637709381427</v>
      </c>
      <c r="Z81" s="37">
        <v>151.25778963985073</v>
      </c>
      <c r="AA81" s="37">
        <v>132.53288937985175</v>
      </c>
    </row>
    <row r="82" spans="1:28" ht="18.75" customHeight="1" x14ac:dyDescent="0.2">
      <c r="A82" s="65" t="s">
        <v>641</v>
      </c>
      <c r="B82" s="166" t="s">
        <v>32</v>
      </c>
      <c r="C82" s="166"/>
      <c r="D82" s="103">
        <v>141</v>
      </c>
      <c r="E82" s="176">
        <f t="shared" si="7"/>
        <v>146.64000000000001</v>
      </c>
      <c r="F82" s="38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</row>
    <row r="83" spans="1:28" ht="18.75" customHeight="1" x14ac:dyDescent="0.2">
      <c r="A83" s="65" t="s">
        <v>160</v>
      </c>
      <c r="B83" s="166"/>
      <c r="C83" s="166"/>
      <c r="D83" s="166"/>
      <c r="E83" s="176"/>
      <c r="F83" s="38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</row>
    <row r="84" spans="1:28" ht="18.75" customHeight="1" x14ac:dyDescent="0.2">
      <c r="A84" s="142" t="s">
        <v>498</v>
      </c>
      <c r="B84" s="166" t="s">
        <v>32</v>
      </c>
      <c r="C84" s="166">
        <v>37.28</v>
      </c>
      <c r="D84" s="103">
        <v>40</v>
      </c>
      <c r="E84" s="176">
        <f>D84*1.04</f>
        <v>41.6</v>
      </c>
      <c r="F84" s="38">
        <v>78.425859628789198</v>
      </c>
      <c r="G84" s="37">
        <v>6.743502864343295</v>
      </c>
      <c r="H84" s="37">
        <v>64.458550893567605</v>
      </c>
      <c r="I84" s="37">
        <v>55.283897352751758</v>
      </c>
      <c r="J84" s="37">
        <v>45.580913696759247</v>
      </c>
      <c r="K84" s="37">
        <v>53.204003633767613</v>
      </c>
      <c r="L84" s="37">
        <v>55.610020719459712</v>
      </c>
      <c r="M84" s="37">
        <v>58.810030313166678</v>
      </c>
      <c r="N84" s="37">
        <v>35.616799870176848</v>
      </c>
      <c r="O84" s="37">
        <v>72.6649209402011</v>
      </c>
      <c r="P84" s="37">
        <v>35.742330495086605</v>
      </c>
      <c r="Q84" s="37">
        <v>45.006118257271496</v>
      </c>
      <c r="R84" s="37">
        <v>46.154330813391326</v>
      </c>
      <c r="S84" s="37">
        <v>43.707923513438438</v>
      </c>
      <c r="T84" s="37">
        <v>33.181928091627718</v>
      </c>
      <c r="U84" s="37">
        <v>40.060954165436414</v>
      </c>
      <c r="V84" s="37">
        <v>47.880887753754351</v>
      </c>
      <c r="W84" s="37">
        <v>57.663538077667916</v>
      </c>
      <c r="X84" s="37">
        <v>37.489913243936961</v>
      </c>
      <c r="Y84" s="37">
        <v>39.088792364604757</v>
      </c>
      <c r="Z84" s="37">
        <v>50.419263213283571</v>
      </c>
      <c r="AA84" s="83">
        <v>42.149869965795929</v>
      </c>
      <c r="AB84" s="71"/>
    </row>
    <row r="85" spans="1:28" ht="17.25" customHeight="1" x14ac:dyDescent="0.2">
      <c r="A85" s="199" t="s">
        <v>499</v>
      </c>
      <c r="B85" s="166" t="s">
        <v>32</v>
      </c>
      <c r="C85" s="166">
        <v>106.5</v>
      </c>
      <c r="D85" s="103">
        <v>135</v>
      </c>
      <c r="E85" s="176">
        <f>D85*1.04</f>
        <v>140.4</v>
      </c>
      <c r="F85" s="38">
        <v>235.27757888636759</v>
      </c>
      <c r="G85" s="37">
        <v>20.230508593029882</v>
      </c>
      <c r="H85" s="37">
        <v>193.37565268070276</v>
      </c>
      <c r="I85" s="37">
        <v>165.85169205825525</v>
      </c>
      <c r="J85" s="37">
        <v>136.74274109027775</v>
      </c>
      <c r="K85" s="37">
        <v>159.61201090130285</v>
      </c>
      <c r="L85" s="37">
        <v>166.83006215837909</v>
      </c>
      <c r="M85" s="37">
        <v>176.43009093950008</v>
      </c>
      <c r="N85" s="37">
        <v>106.85039961053057</v>
      </c>
      <c r="O85" s="37">
        <v>217.99476282060326</v>
      </c>
      <c r="P85" s="37">
        <v>107.22699148525983</v>
      </c>
      <c r="Q85" s="37">
        <v>135.01835477181453</v>
      </c>
      <c r="R85" s="37">
        <v>138.46299244017393</v>
      </c>
      <c r="S85" s="37">
        <v>131.12377054031529</v>
      </c>
      <c r="T85" s="37">
        <v>99.545784274883147</v>
      </c>
      <c r="U85" s="37">
        <v>120.18286249630926</v>
      </c>
      <c r="V85" s="37">
        <v>143.64266326126307</v>
      </c>
      <c r="W85" s="37">
        <v>172.99061423300373</v>
      </c>
      <c r="X85" s="37">
        <v>112.46973973181086</v>
      </c>
      <c r="Y85" s="37">
        <v>117.26637709381427</v>
      </c>
      <c r="Z85" s="37">
        <v>151.25778963985073</v>
      </c>
      <c r="AA85" s="37">
        <v>126.44960989738779</v>
      </c>
    </row>
    <row r="86" spans="1:28" ht="17.25" customHeight="1" x14ac:dyDescent="0.2">
      <c r="A86" s="199" t="s">
        <v>500</v>
      </c>
      <c r="B86" s="166" t="s">
        <v>32</v>
      </c>
      <c r="C86" s="166">
        <v>53.25</v>
      </c>
      <c r="D86" s="103">
        <v>68</v>
      </c>
      <c r="E86" s="176">
        <f>D86*1.04</f>
        <v>70.72</v>
      </c>
      <c r="F86" s="38">
        <v>76.575924049692418</v>
      </c>
      <c r="G86" s="37">
        <v>6.743502864343295</v>
      </c>
      <c r="H86" s="37">
        <v>64.458550893567605</v>
      </c>
      <c r="I86" s="37">
        <v>57.268849458083636</v>
      </c>
      <c r="J86" s="37">
        <v>45.580913696759247</v>
      </c>
      <c r="K86" s="37">
        <v>53.204003633767613</v>
      </c>
      <c r="L86" s="37">
        <v>59.303727625480747</v>
      </c>
      <c r="M86" s="37">
        <v>57.0378554547314</v>
      </c>
      <c r="N86" s="37">
        <v>35.616799870176848</v>
      </c>
      <c r="O86" s="37">
        <v>72.6649209402011</v>
      </c>
      <c r="P86" s="37">
        <v>35.742330495086605</v>
      </c>
      <c r="Q86" s="37">
        <v>48.925912468983327</v>
      </c>
      <c r="R86" s="37">
        <v>46.154330813391326</v>
      </c>
      <c r="S86" s="37">
        <v>43.707923513438438</v>
      </c>
      <c r="T86" s="37">
        <v>33.181928091627718</v>
      </c>
      <c r="U86" s="37">
        <v>40.060954165436414</v>
      </c>
      <c r="V86" s="37">
        <v>47.880887753754351</v>
      </c>
      <c r="W86" s="37">
        <v>57.663538077667916</v>
      </c>
      <c r="X86" s="37">
        <v>37.489913243936961</v>
      </c>
      <c r="Y86" s="37">
        <v>39.088792364604757</v>
      </c>
      <c r="Z86" s="37">
        <v>50.419263213283571</v>
      </c>
      <c r="AA86" s="37">
        <v>44.177629793283913</v>
      </c>
    </row>
    <row r="87" spans="1:28" ht="17.25" customHeight="1" x14ac:dyDescent="0.2">
      <c r="A87" s="65" t="s">
        <v>165</v>
      </c>
      <c r="B87" s="166"/>
      <c r="C87" s="166"/>
      <c r="D87" s="166"/>
      <c r="E87" s="176"/>
      <c r="F87" s="38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</row>
    <row r="88" spans="1:28" ht="28.5" customHeight="1" x14ac:dyDescent="0.2">
      <c r="A88" s="65" t="s">
        <v>501</v>
      </c>
      <c r="B88" s="166" t="s">
        <v>88</v>
      </c>
      <c r="C88" s="166">
        <v>21.3</v>
      </c>
      <c r="D88" s="103">
        <v>53</v>
      </c>
      <c r="E88" s="176">
        <f>D88*1.04</f>
        <v>55.120000000000005</v>
      </c>
      <c r="F88" s="38">
        <v>40.993779506205939</v>
      </c>
      <c r="G88" s="37">
        <v>50.119754124655046</v>
      </c>
      <c r="H88" s="37">
        <v>39.324821293717278</v>
      </c>
      <c r="I88" s="37">
        <v>34.667836480818963</v>
      </c>
      <c r="J88" s="37">
        <v>23.516123385555954</v>
      </c>
      <c r="K88" s="37">
        <v>32.930343582580718</v>
      </c>
      <c r="L88" s="37">
        <v>30.459440765890648</v>
      </c>
      <c r="M88" s="37">
        <v>29.625700259460359</v>
      </c>
      <c r="N88" s="37">
        <v>13.885678409836997</v>
      </c>
      <c r="O88" s="37">
        <v>36.750261418784007</v>
      </c>
      <c r="P88" s="37">
        <v>25.690278251189042</v>
      </c>
      <c r="Q88" s="37">
        <v>24.792051277383926</v>
      </c>
      <c r="R88" s="37">
        <v>21.624424020906233</v>
      </c>
      <c r="S88" s="37">
        <v>25.675593008327191</v>
      </c>
      <c r="T88" s="37">
        <v>19.484714694799116</v>
      </c>
      <c r="U88" s="37">
        <v>23.832030658503765</v>
      </c>
      <c r="V88" s="37">
        <v>28.728532652252611</v>
      </c>
      <c r="W88" s="37">
        <v>24.080286072768121</v>
      </c>
      <c r="X88" s="37">
        <v>20.424870161172159</v>
      </c>
      <c r="Y88" s="37">
        <v>15.532980732757112</v>
      </c>
      <c r="Z88" s="37">
        <v>25.878556738110095</v>
      </c>
      <c r="AA88" s="83">
        <v>26.069167694864312</v>
      </c>
      <c r="AB88" s="71"/>
    </row>
    <row r="89" spans="1:28" ht="177.75" customHeight="1" x14ac:dyDescent="0.2">
      <c r="A89" s="65" t="s">
        <v>502</v>
      </c>
      <c r="B89" s="166"/>
      <c r="C89" s="166"/>
      <c r="D89" s="76"/>
      <c r="E89" s="176"/>
      <c r="F89" s="38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</row>
    <row r="90" spans="1:28" ht="53.25" customHeight="1" x14ac:dyDescent="0.2">
      <c r="A90" s="65" t="s">
        <v>503</v>
      </c>
      <c r="B90" s="128" t="s">
        <v>604</v>
      </c>
      <c r="C90" s="166">
        <v>21.3</v>
      </c>
      <c r="D90" s="103">
        <v>26</v>
      </c>
      <c r="E90" s="176">
        <f>D90*1.04</f>
        <v>27.04</v>
      </c>
      <c r="F90" s="38">
        <v>73.166015333352462</v>
      </c>
      <c r="G90" s="37">
        <v>77.641498654392876</v>
      </c>
      <c r="H90" s="37">
        <v>68.033313309553904</v>
      </c>
      <c r="I90" s="37">
        <v>69.324537867090669</v>
      </c>
      <c r="J90" s="37">
        <v>44.307672988515122</v>
      </c>
      <c r="K90" s="37">
        <v>66.125365185450988</v>
      </c>
      <c r="L90" s="37">
        <v>59.303727625480747</v>
      </c>
      <c r="M90" s="37">
        <v>57.0378554547314</v>
      </c>
      <c r="N90" s="37">
        <v>35.616799870176848</v>
      </c>
      <c r="O90" s="37">
        <v>81.989315696212486</v>
      </c>
      <c r="P90" s="37">
        <v>41.414642547355456</v>
      </c>
      <c r="Q90" s="37">
        <v>48.925912468983327</v>
      </c>
      <c r="R90" s="37">
        <v>46.154330813391326</v>
      </c>
      <c r="S90" s="37">
        <v>48.92789003271286</v>
      </c>
      <c r="T90" s="37">
        <v>33.181928091627718</v>
      </c>
      <c r="U90" s="37">
        <v>40.060954165436414</v>
      </c>
      <c r="V90" s="37">
        <v>47.880887753754351</v>
      </c>
      <c r="W90" s="37">
        <v>48.011376080131932</v>
      </c>
      <c r="X90" s="37">
        <v>37.489913243936961</v>
      </c>
      <c r="Y90" s="37">
        <v>39.088792364604757</v>
      </c>
      <c r="Z90" s="37">
        <v>61.42171132529085</v>
      </c>
      <c r="AA90" s="37">
        <v>44.177629793283913</v>
      </c>
    </row>
    <row r="91" spans="1:28" ht="61.5" customHeight="1" x14ac:dyDescent="0.2">
      <c r="A91" s="65" t="s">
        <v>169</v>
      </c>
      <c r="B91" s="128" t="s">
        <v>604</v>
      </c>
      <c r="C91" s="166">
        <v>21.3</v>
      </c>
      <c r="D91" s="103">
        <v>26</v>
      </c>
      <c r="E91" s="176">
        <f>D91*1.04</f>
        <v>27.04</v>
      </c>
      <c r="F91" s="38">
        <v>73.166015333352462</v>
      </c>
      <c r="G91" s="37">
        <v>77.641498654392876</v>
      </c>
      <c r="H91" s="37">
        <v>68.033313309553904</v>
      </c>
      <c r="I91" s="37">
        <v>69.324537867090669</v>
      </c>
      <c r="J91" s="37">
        <v>44.307672988515122</v>
      </c>
      <c r="K91" s="37">
        <v>66.125365185450988</v>
      </c>
      <c r="L91" s="37">
        <v>59.303727625480747</v>
      </c>
      <c r="M91" s="37">
        <v>57.0378554547314</v>
      </c>
      <c r="N91" s="37">
        <v>35.616799870176848</v>
      </c>
      <c r="O91" s="37">
        <v>81.989315696212486</v>
      </c>
      <c r="P91" s="37">
        <v>41.414642547355456</v>
      </c>
      <c r="Q91" s="37">
        <v>48.925912468983327</v>
      </c>
      <c r="R91" s="37">
        <v>46.154330813391326</v>
      </c>
      <c r="S91" s="37">
        <v>48.92789003271286</v>
      </c>
      <c r="T91" s="37">
        <v>33.181928091627718</v>
      </c>
      <c r="U91" s="37">
        <v>40.060954165436414</v>
      </c>
      <c r="V91" s="37">
        <v>47.880887753754351</v>
      </c>
      <c r="W91" s="37">
        <v>48.011376080131932</v>
      </c>
      <c r="X91" s="37">
        <v>37.489913243936961</v>
      </c>
      <c r="Y91" s="37">
        <v>39.088792364604757</v>
      </c>
      <c r="Z91" s="37">
        <v>50.419263213283571</v>
      </c>
      <c r="AA91" s="37">
        <v>44.177629793283913</v>
      </c>
    </row>
    <row r="92" spans="1:28" ht="54.75" customHeight="1" x14ac:dyDescent="0.2">
      <c r="A92" s="65" t="s">
        <v>504</v>
      </c>
      <c r="B92" s="128" t="s">
        <v>604</v>
      </c>
      <c r="C92" s="166">
        <v>10.65</v>
      </c>
      <c r="D92" s="103">
        <v>14</v>
      </c>
      <c r="E92" s="176">
        <f>D92*1.04</f>
        <v>14.56</v>
      </c>
      <c r="F92" s="38">
        <v>36.583007666676231</v>
      </c>
      <c r="G92" s="37">
        <v>38.820749327196438</v>
      </c>
      <c r="H92" s="37">
        <v>34.016656654776952</v>
      </c>
      <c r="I92" s="37">
        <v>34.662268933545334</v>
      </c>
      <c r="J92" s="37">
        <v>22.153836494257561</v>
      </c>
      <c r="K92" s="37">
        <v>33.062682592725494</v>
      </c>
      <c r="L92" s="37">
        <v>29.651863812740373</v>
      </c>
      <c r="M92" s="37">
        <v>28.5189277273657</v>
      </c>
      <c r="N92" s="37">
        <v>17.808399935088424</v>
      </c>
      <c r="O92" s="37">
        <v>40.994657848106243</v>
      </c>
      <c r="P92" s="37">
        <v>20.707321273677728</v>
      </c>
      <c r="Q92" s="37">
        <v>24.462956234491664</v>
      </c>
      <c r="R92" s="37">
        <v>23.077165406695663</v>
      </c>
      <c r="S92" s="37">
        <v>24.46394501635643</v>
      </c>
      <c r="T92" s="37">
        <v>16.590964045813859</v>
      </c>
      <c r="U92" s="37">
        <v>20.030477082718207</v>
      </c>
      <c r="V92" s="37">
        <v>23.940443876877175</v>
      </c>
      <c r="W92" s="37">
        <v>24.005688040065966</v>
      </c>
      <c r="X92" s="37">
        <v>18.74495662196848</v>
      </c>
      <c r="Y92" s="37">
        <v>19.544396182302378</v>
      </c>
      <c r="Z92" s="37">
        <v>25.209631606641786</v>
      </c>
      <c r="AA92" s="83">
        <v>22.088814896641956</v>
      </c>
      <c r="AB92" s="71"/>
    </row>
    <row r="93" spans="1:28" ht="60" customHeight="1" x14ac:dyDescent="0.2">
      <c r="A93" s="65" t="s">
        <v>177</v>
      </c>
      <c r="B93" s="128" t="s">
        <v>604</v>
      </c>
      <c r="C93" s="166">
        <v>5.33</v>
      </c>
      <c r="D93" s="103">
        <f t="shared" ref="D93" si="10">ROUND(C93*1.1,0)*1.15</f>
        <v>6.8999999999999995</v>
      </c>
      <c r="E93" s="176">
        <f>D93*1.04</f>
        <v>7.1759999999999993</v>
      </c>
      <c r="F93" s="38">
        <v>14.63320306667049</v>
      </c>
      <c r="G93" s="37">
        <v>15.52829973087858</v>
      </c>
      <c r="H93" s="37">
        <v>13.606662661910782</v>
      </c>
      <c r="I93" s="37">
        <v>13.864907573418133</v>
      </c>
      <c r="J93" s="37">
        <v>8.8615345977030255</v>
      </c>
      <c r="K93" s="37">
        <v>17.553415212715159</v>
      </c>
      <c r="L93" s="37">
        <v>11.860745525096149</v>
      </c>
      <c r="M93" s="37">
        <v>11.407571090946277</v>
      </c>
      <c r="N93" s="37">
        <v>7.1233599740353704</v>
      </c>
      <c r="O93" s="37">
        <v>16.397863139242496</v>
      </c>
      <c r="P93" s="37">
        <v>8.2829285094710912</v>
      </c>
      <c r="Q93" s="37">
        <v>9.7851824937966665</v>
      </c>
      <c r="R93" s="37">
        <v>9.2308661626782627</v>
      </c>
      <c r="S93" s="37">
        <v>9.7855780065425719</v>
      </c>
      <c r="T93" s="37">
        <v>6.6363856183255443</v>
      </c>
      <c r="U93" s="37">
        <v>8.0121908330872831</v>
      </c>
      <c r="V93" s="37">
        <v>9.5761775507508702</v>
      </c>
      <c r="W93" s="37">
        <v>9.6022752160263849</v>
      </c>
      <c r="X93" s="37">
        <v>9.9827814719026922</v>
      </c>
      <c r="Y93" s="37">
        <v>7.8177584729209499</v>
      </c>
      <c r="Z93" s="37">
        <v>12.28434226505817</v>
      </c>
      <c r="AA93" s="37">
        <v>8.8355259586567829</v>
      </c>
    </row>
    <row r="94" spans="1:28" ht="51.75" customHeight="1" x14ac:dyDescent="0.2">
      <c r="A94" s="199" t="s">
        <v>507</v>
      </c>
      <c r="B94" s="128" t="s">
        <v>604</v>
      </c>
      <c r="C94" s="166">
        <v>21.3</v>
      </c>
      <c r="D94" s="103">
        <v>26</v>
      </c>
      <c r="E94" s="176">
        <f>D94*1.04</f>
        <v>27.04</v>
      </c>
      <c r="F94" s="38">
        <v>73.166015333352462</v>
      </c>
      <c r="G94" s="37">
        <v>77.641498654392876</v>
      </c>
      <c r="H94" s="37">
        <v>68.033313309553904</v>
      </c>
      <c r="I94" s="37">
        <v>69.324537867090669</v>
      </c>
      <c r="J94" s="37">
        <v>44.307672988515122</v>
      </c>
      <c r="K94" s="37">
        <v>66.125365185450988</v>
      </c>
      <c r="L94" s="37">
        <v>59.303727625480747</v>
      </c>
      <c r="M94" s="37">
        <v>57.0378554547314</v>
      </c>
      <c r="N94" s="37">
        <v>35.616799870176848</v>
      </c>
      <c r="O94" s="37">
        <v>81.989315696212486</v>
      </c>
      <c r="P94" s="37">
        <v>41.414642547355456</v>
      </c>
      <c r="Q94" s="37">
        <v>48.925912468983327</v>
      </c>
      <c r="R94" s="37">
        <v>46.154330813391326</v>
      </c>
      <c r="S94" s="37">
        <v>48.92789003271286</v>
      </c>
      <c r="T94" s="37">
        <v>33.181928091627718</v>
      </c>
      <c r="U94" s="37">
        <v>40.060954165436414</v>
      </c>
      <c r="V94" s="37">
        <v>47.880887753754351</v>
      </c>
      <c r="W94" s="37">
        <v>48.011376080131932</v>
      </c>
      <c r="X94" s="37">
        <v>37.489913243936961</v>
      </c>
      <c r="Y94" s="37">
        <v>39.088792364604757</v>
      </c>
      <c r="Z94" s="37">
        <v>50.419263213283571</v>
      </c>
      <c r="AA94" s="37">
        <v>44.177629793283913</v>
      </c>
    </row>
    <row r="95" spans="1:28" ht="179.25" customHeight="1" x14ac:dyDescent="0.2">
      <c r="A95" s="199" t="s">
        <v>508</v>
      </c>
      <c r="B95" s="76"/>
      <c r="C95" s="166"/>
      <c r="D95" s="76"/>
      <c r="E95" s="176"/>
      <c r="F95" s="38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</row>
    <row r="96" spans="1:28" ht="38.25" customHeight="1" x14ac:dyDescent="0.2">
      <c r="A96" s="65" t="s">
        <v>505</v>
      </c>
      <c r="B96" s="128" t="s">
        <v>604</v>
      </c>
      <c r="C96" s="166">
        <v>42.6</v>
      </c>
      <c r="D96" s="103">
        <v>62</v>
      </c>
      <c r="E96" s="176">
        <f t="shared" ref="E96:E106" si="11">D96*1.04</f>
        <v>64.48</v>
      </c>
      <c r="F96" s="38">
        <v>73.166015333352462</v>
      </c>
      <c r="G96" s="37">
        <v>77.641498654392876</v>
      </c>
      <c r="H96" s="37">
        <v>68.033313309553904</v>
      </c>
      <c r="I96" s="37">
        <v>69.324537867090669</v>
      </c>
      <c r="J96" s="37">
        <v>44.307672988515122</v>
      </c>
      <c r="K96" s="37">
        <v>66.125365185450988</v>
      </c>
      <c r="L96" s="37">
        <v>59.303727625480747</v>
      </c>
      <c r="M96" s="37">
        <v>57.0378554547314</v>
      </c>
      <c r="N96" s="37">
        <v>35.616799870176848</v>
      </c>
      <c r="O96" s="37">
        <v>81.989315696212486</v>
      </c>
      <c r="P96" s="37">
        <v>41.414642547355456</v>
      </c>
      <c r="Q96" s="37">
        <v>48.925912468983327</v>
      </c>
      <c r="R96" s="37">
        <v>46.154330813391326</v>
      </c>
      <c r="S96" s="37">
        <v>48.92789003271286</v>
      </c>
      <c r="T96" s="37">
        <v>33.181928091627718</v>
      </c>
      <c r="U96" s="37">
        <v>40.060954165436414</v>
      </c>
      <c r="V96" s="37">
        <v>47.880887753754351</v>
      </c>
      <c r="W96" s="37">
        <v>48.011376080131932</v>
      </c>
      <c r="X96" s="37">
        <v>37.489913243936961</v>
      </c>
      <c r="Y96" s="37">
        <v>39.088792364604757</v>
      </c>
      <c r="Z96" s="37">
        <v>50.419263213283571</v>
      </c>
      <c r="AA96" s="37">
        <v>44.177629793283913</v>
      </c>
    </row>
    <row r="97" spans="1:28" ht="38.25" customHeight="1" x14ac:dyDescent="0.2">
      <c r="A97" s="142" t="s">
        <v>509</v>
      </c>
      <c r="B97" s="128" t="s">
        <v>604</v>
      </c>
      <c r="C97" s="166"/>
      <c r="D97" s="103">
        <v>62</v>
      </c>
      <c r="E97" s="176">
        <f t="shared" si="11"/>
        <v>64.48</v>
      </c>
      <c r="F97" s="38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</row>
    <row r="98" spans="1:28" ht="97.5" customHeight="1" x14ac:dyDescent="0.2">
      <c r="A98" s="65" t="s">
        <v>173</v>
      </c>
      <c r="B98" s="141" t="s">
        <v>713</v>
      </c>
      <c r="C98" s="166">
        <v>21.3</v>
      </c>
      <c r="D98" s="103">
        <v>26</v>
      </c>
      <c r="E98" s="176">
        <f t="shared" si="11"/>
        <v>27.04</v>
      </c>
      <c r="F98" s="38">
        <v>99.306636400692668</v>
      </c>
      <c r="G98" s="37">
        <v>116.46224798158933</v>
      </c>
      <c r="H98" s="37">
        <v>102.04996996433087</v>
      </c>
      <c r="I98" s="37">
        <v>103.98680680063599</v>
      </c>
      <c r="J98" s="37">
        <v>66.461509482772698</v>
      </c>
      <c r="K98" s="37">
        <v>131.65061409536369</v>
      </c>
      <c r="L98" s="37">
        <v>88.95559143822112</v>
      </c>
      <c r="M98" s="37">
        <v>85.556783182097092</v>
      </c>
      <c r="N98" s="37">
        <v>53.425199805265287</v>
      </c>
      <c r="O98" s="37">
        <v>122.98397354431873</v>
      </c>
      <c r="P98" s="37">
        <v>62.121963821033177</v>
      </c>
      <c r="Q98" s="37">
        <v>73.388868703474998</v>
      </c>
      <c r="R98" s="37">
        <v>69.231496220086967</v>
      </c>
      <c r="S98" s="37">
        <v>73.3918350490693</v>
      </c>
      <c r="T98" s="37">
        <v>49.772892137441573</v>
      </c>
      <c r="U98" s="37">
        <v>60.091431248154628</v>
      </c>
      <c r="V98" s="37">
        <v>71.821331630631533</v>
      </c>
      <c r="W98" s="37">
        <v>72.017064120197887</v>
      </c>
      <c r="X98" s="37">
        <v>46.316440245063234</v>
      </c>
      <c r="Y98" s="37">
        <v>58.633188546907135</v>
      </c>
      <c r="Z98" s="37">
        <v>75.628894819925364</v>
      </c>
      <c r="AA98" s="37">
        <v>66.266444689925876</v>
      </c>
    </row>
    <row r="99" spans="1:28" ht="48" customHeight="1" x14ac:dyDescent="0.2">
      <c r="A99" s="65" t="s">
        <v>506</v>
      </c>
      <c r="B99" s="143" t="s">
        <v>604</v>
      </c>
      <c r="C99" s="166">
        <v>10.65</v>
      </c>
      <c r="D99" s="103">
        <v>14</v>
      </c>
      <c r="E99" s="176">
        <f t="shared" si="11"/>
        <v>14.56</v>
      </c>
      <c r="F99" s="38">
        <v>36.583007666676231</v>
      </c>
      <c r="G99" s="37">
        <v>38.820749327196438</v>
      </c>
      <c r="H99" s="37">
        <v>34.016656654776952</v>
      </c>
      <c r="I99" s="37">
        <v>34.662268933545334</v>
      </c>
      <c r="J99" s="37">
        <v>22.153836494257561</v>
      </c>
      <c r="K99" s="37">
        <v>33.062682592725494</v>
      </c>
      <c r="L99" s="37">
        <v>29.651863812740373</v>
      </c>
      <c r="M99" s="37">
        <v>28.5189277273657</v>
      </c>
      <c r="N99" s="37">
        <v>17.808399935088424</v>
      </c>
      <c r="O99" s="37">
        <v>40.994657848106243</v>
      </c>
      <c r="P99" s="37">
        <v>20.707321273677728</v>
      </c>
      <c r="Q99" s="37">
        <v>24.462956234491664</v>
      </c>
      <c r="R99" s="37">
        <v>23.077165406695663</v>
      </c>
      <c r="S99" s="37">
        <v>24.46394501635643</v>
      </c>
      <c r="T99" s="37">
        <v>16.590964045813859</v>
      </c>
      <c r="U99" s="37">
        <v>20.030477082718207</v>
      </c>
      <c r="V99" s="37">
        <v>23.940443876877175</v>
      </c>
      <c r="W99" s="37">
        <v>24.005688040065966</v>
      </c>
      <c r="X99" s="37">
        <v>18.74495662196848</v>
      </c>
      <c r="Y99" s="37">
        <v>19.544396182302378</v>
      </c>
      <c r="Z99" s="37">
        <v>25.209631606641786</v>
      </c>
      <c r="AA99" s="37">
        <v>22.088814896641956</v>
      </c>
    </row>
    <row r="100" spans="1:28" ht="39.75" customHeight="1" x14ac:dyDescent="0.2">
      <c r="A100" s="65" t="s">
        <v>176</v>
      </c>
      <c r="B100" s="143" t="s">
        <v>714</v>
      </c>
      <c r="C100" s="166">
        <v>10.65</v>
      </c>
      <c r="D100" s="103">
        <v>14</v>
      </c>
      <c r="E100" s="176">
        <f t="shared" si="11"/>
        <v>14.56</v>
      </c>
      <c r="F100" s="38">
        <v>36.583007666676231</v>
      </c>
      <c r="G100" s="37">
        <v>38.820749327196438</v>
      </c>
      <c r="H100" s="37">
        <v>34.016656654776952</v>
      </c>
      <c r="I100" s="37">
        <v>34.662268933545334</v>
      </c>
      <c r="J100" s="37">
        <v>22.153836494257561</v>
      </c>
      <c r="K100" s="37">
        <v>33.062682592725494</v>
      </c>
      <c r="L100" s="37">
        <v>29.651863812740373</v>
      </c>
      <c r="M100" s="37">
        <v>28.5189277273657</v>
      </c>
      <c r="N100" s="37">
        <v>17.808399935088424</v>
      </c>
      <c r="O100" s="37">
        <v>40.994657848106243</v>
      </c>
      <c r="P100" s="37">
        <v>20.707321273677728</v>
      </c>
      <c r="Q100" s="37">
        <v>24.462956234491664</v>
      </c>
      <c r="R100" s="37">
        <v>23.077165406695663</v>
      </c>
      <c r="S100" s="37">
        <v>24.46394501635643</v>
      </c>
      <c r="T100" s="37">
        <v>16.590964045813859</v>
      </c>
      <c r="U100" s="37">
        <v>20.030477082718207</v>
      </c>
      <c r="V100" s="37">
        <v>23.940443876877175</v>
      </c>
      <c r="W100" s="37">
        <v>24.005688040065966</v>
      </c>
      <c r="X100" s="37">
        <v>24.95695367975673</v>
      </c>
      <c r="Y100" s="37">
        <v>19.544396182302378</v>
      </c>
      <c r="Z100" s="37">
        <v>30.710855662645425</v>
      </c>
      <c r="AA100" s="37">
        <v>22.088814896641956</v>
      </c>
    </row>
    <row r="101" spans="1:28" ht="72.75" customHeight="1" x14ac:dyDescent="0.2">
      <c r="A101" s="199" t="s">
        <v>510</v>
      </c>
      <c r="B101" s="166" t="s">
        <v>32</v>
      </c>
      <c r="C101" s="166">
        <v>213</v>
      </c>
      <c r="D101" s="103">
        <v>269</v>
      </c>
      <c r="E101" s="176">
        <f t="shared" si="11"/>
        <v>279.76</v>
      </c>
      <c r="F101" s="38">
        <v>539.44613201539721</v>
      </c>
      <c r="G101" s="37">
        <v>529.48243527081081</v>
      </c>
      <c r="H101" s="37">
        <v>441.48723990376095</v>
      </c>
      <c r="I101" s="37">
        <v>406.18311911007277</v>
      </c>
      <c r="J101" s="37">
        <v>361.10929998085368</v>
      </c>
      <c r="K101" s="37">
        <v>339.13640355293001</v>
      </c>
      <c r="L101" s="37">
        <v>444.17926237377526</v>
      </c>
      <c r="M101" s="37">
        <v>366.02639956999803</v>
      </c>
      <c r="N101" s="37">
        <v>192.45842797062062</v>
      </c>
      <c r="O101" s="37">
        <v>430.13659440908503</v>
      </c>
      <c r="P101" s="37">
        <v>356.34160807417231</v>
      </c>
      <c r="Q101" s="37">
        <v>320.0237699597256</v>
      </c>
      <c r="R101" s="37">
        <v>212.92676694758745</v>
      </c>
      <c r="S101" s="37">
        <v>316.70297709146945</v>
      </c>
      <c r="T101" s="37">
        <v>199.09156854976629</v>
      </c>
      <c r="U101" s="37">
        <v>282.02970779277388</v>
      </c>
      <c r="V101" s="37">
        <v>287.28532652252613</v>
      </c>
      <c r="W101" s="37">
        <v>288.06825648079155</v>
      </c>
      <c r="X101" s="37">
        <v>368.92640854116843</v>
      </c>
      <c r="Y101" s="37">
        <v>147.41892969782407</v>
      </c>
      <c r="Z101" s="37">
        <v>355.26014316775274</v>
      </c>
      <c r="AA101" s="37">
        <v>337.88009638846006</v>
      </c>
    </row>
    <row r="102" spans="1:28" ht="50.25" customHeight="1" x14ac:dyDescent="0.2">
      <c r="A102" s="199" t="s">
        <v>511</v>
      </c>
      <c r="B102" s="84" t="s">
        <v>32</v>
      </c>
      <c r="C102" s="84"/>
      <c r="D102" s="105">
        <v>269</v>
      </c>
      <c r="E102" s="176">
        <f t="shared" si="11"/>
        <v>279.76</v>
      </c>
      <c r="F102" s="38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</row>
    <row r="103" spans="1:28" ht="20.25" customHeight="1" x14ac:dyDescent="0.2">
      <c r="A103" s="199" t="s">
        <v>468</v>
      </c>
      <c r="B103" s="166" t="s">
        <v>32</v>
      </c>
      <c r="C103" s="166">
        <v>21.3</v>
      </c>
      <c r="D103" s="103">
        <v>26</v>
      </c>
      <c r="E103" s="176">
        <f t="shared" si="11"/>
        <v>27.04</v>
      </c>
      <c r="F103" s="78">
        <v>182.91503833338115</v>
      </c>
      <c r="G103" s="79">
        <v>194.10374663598222</v>
      </c>
      <c r="H103" s="79">
        <v>170.0832832738848</v>
      </c>
      <c r="I103" s="79">
        <v>143.17212364520907</v>
      </c>
      <c r="J103" s="79">
        <v>110.76918247128782</v>
      </c>
      <c r="K103" s="79">
        <v>165.31341296362746</v>
      </c>
      <c r="L103" s="79">
        <v>120.64112635358148</v>
      </c>
      <c r="M103" s="79">
        <v>142.59463863682851</v>
      </c>
      <c r="N103" s="79">
        <v>89.041999675442128</v>
      </c>
      <c r="O103" s="79">
        <v>204.97328924053122</v>
      </c>
      <c r="P103" s="79">
        <v>103.53660636838865</v>
      </c>
      <c r="Q103" s="79">
        <v>122.31478117245831</v>
      </c>
      <c r="R103" s="79">
        <v>115.38582703347829</v>
      </c>
      <c r="S103" s="79">
        <v>122.31972508178215</v>
      </c>
      <c r="T103" s="79">
        <v>82.954820229069298</v>
      </c>
      <c r="U103" s="79">
        <v>100.15238541359103</v>
      </c>
      <c r="V103" s="79">
        <v>119.70221938438587</v>
      </c>
      <c r="W103" s="79">
        <v>99.786815490842699</v>
      </c>
      <c r="X103" s="79">
        <v>93.724783109842377</v>
      </c>
      <c r="Y103" s="79">
        <v>97.721980911511892</v>
      </c>
      <c r="Z103" s="79">
        <v>126.04815803320892</v>
      </c>
      <c r="AA103" s="79">
        <v>110.4440744832098</v>
      </c>
    </row>
    <row r="104" spans="1:28" ht="71.25" customHeight="1" x14ac:dyDescent="0.2">
      <c r="A104" s="65" t="s">
        <v>512</v>
      </c>
      <c r="B104" s="166" t="s">
        <v>32</v>
      </c>
      <c r="C104" s="166"/>
      <c r="D104" s="176">
        <v>20</v>
      </c>
      <c r="E104" s="176">
        <f t="shared" si="11"/>
        <v>20.8</v>
      </c>
      <c r="F104" s="38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83"/>
      <c r="AB104" s="71"/>
    </row>
    <row r="105" spans="1:28" ht="47.25" customHeight="1" x14ac:dyDescent="0.2">
      <c r="A105" s="199" t="s">
        <v>513</v>
      </c>
      <c r="B105" s="166" t="s">
        <v>32</v>
      </c>
      <c r="C105" s="166">
        <v>53.25</v>
      </c>
      <c r="D105" s="103">
        <v>68</v>
      </c>
      <c r="E105" s="176">
        <f t="shared" si="11"/>
        <v>70.72</v>
      </c>
      <c r="F105" s="38">
        <v>332.7601849798865</v>
      </c>
      <c r="G105" s="37">
        <v>259.96085171077641</v>
      </c>
      <c r="H105" s="37">
        <v>246.83516405834979</v>
      </c>
      <c r="I105" s="37">
        <v>219.80038837982653</v>
      </c>
      <c r="J105" s="37">
        <v>188.53721383073838</v>
      </c>
      <c r="K105" s="37">
        <v>167.31284085436815</v>
      </c>
      <c r="L105" s="37">
        <v>245.64378420765075</v>
      </c>
      <c r="M105" s="37">
        <v>192.17172699096807</v>
      </c>
      <c r="N105" s="37">
        <v>131.39792306065345</v>
      </c>
      <c r="O105" s="37">
        <v>301.68359022498282</v>
      </c>
      <c r="P105" s="37">
        <v>186.97537423584819</v>
      </c>
      <c r="Q105" s="37">
        <v>236.22919257103703</v>
      </c>
      <c r="R105" s="37">
        <v>136.51006856078061</v>
      </c>
      <c r="S105" s="37">
        <v>170.3813743282538</v>
      </c>
      <c r="T105" s="37">
        <v>99.545784274883147</v>
      </c>
      <c r="U105" s="37">
        <v>120.18286249630926</v>
      </c>
      <c r="V105" s="37">
        <v>143.64266326126307</v>
      </c>
      <c r="W105" s="37">
        <v>172.99061423300373</v>
      </c>
      <c r="X105" s="37">
        <v>149.74172207854036</v>
      </c>
      <c r="Y105" s="37">
        <v>129.30003159454623</v>
      </c>
      <c r="Z105" s="37">
        <v>184.26513397587257</v>
      </c>
      <c r="AA105" s="37">
        <v>123.3654730706222</v>
      </c>
    </row>
    <row r="106" spans="1:28" ht="143.25" customHeight="1" x14ac:dyDescent="0.2">
      <c r="A106" s="200" t="s">
        <v>245</v>
      </c>
      <c r="B106" s="88" t="s">
        <v>246</v>
      </c>
      <c r="C106" s="89">
        <v>380.63</v>
      </c>
      <c r="D106" s="125">
        <v>482</v>
      </c>
      <c r="E106" s="176">
        <f t="shared" si="11"/>
        <v>501.28000000000003</v>
      </c>
      <c r="F106" s="38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</row>
    <row r="107" spans="1:28" ht="12.75" hidden="1" customHeight="1" x14ac:dyDescent="0.2">
      <c r="A107" s="199"/>
      <c r="B107" s="166"/>
      <c r="C107" s="166"/>
      <c r="D107" s="103"/>
      <c r="E107" s="176"/>
      <c r="F107" s="38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</row>
    <row r="108" spans="1:28" ht="12.75" hidden="1" customHeight="1" x14ac:dyDescent="0.2">
      <c r="A108" s="199"/>
      <c r="B108" s="166"/>
      <c r="C108" s="166"/>
      <c r="D108" s="103"/>
      <c r="E108" s="176"/>
      <c r="F108" s="38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</row>
    <row r="109" spans="1:28" ht="12.75" hidden="1" customHeight="1" x14ac:dyDescent="0.2">
      <c r="A109" s="199"/>
      <c r="B109" s="166"/>
      <c r="C109" s="166"/>
      <c r="D109" s="103"/>
      <c r="E109" s="176"/>
      <c r="F109" s="38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</row>
    <row r="110" spans="1:28" ht="12.75" hidden="1" customHeight="1" x14ac:dyDescent="0.2">
      <c r="A110" s="199"/>
      <c r="B110" s="166"/>
      <c r="C110" s="166"/>
      <c r="D110" s="103"/>
      <c r="E110" s="176"/>
      <c r="F110" s="38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</row>
    <row r="111" spans="1:28" ht="12.75" hidden="1" customHeight="1" x14ac:dyDescent="0.2">
      <c r="A111" s="199"/>
      <c r="B111" s="166"/>
      <c r="C111" s="166"/>
      <c r="D111" s="103"/>
      <c r="E111" s="176"/>
      <c r="F111" s="38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</row>
    <row r="112" spans="1:28" ht="12.75" hidden="1" customHeight="1" x14ac:dyDescent="0.2">
      <c r="A112" s="199"/>
      <c r="B112" s="166"/>
      <c r="C112" s="166"/>
      <c r="D112" s="103"/>
      <c r="E112" s="176"/>
      <c r="F112" s="38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</row>
    <row r="113" spans="1:28" ht="12.75" hidden="1" customHeight="1" x14ac:dyDescent="0.2">
      <c r="A113" s="199"/>
      <c r="B113" s="166"/>
      <c r="C113" s="166"/>
      <c r="D113" s="103"/>
      <c r="E113" s="176"/>
      <c r="F113" s="38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</row>
    <row r="114" spans="1:28" ht="12.75" hidden="1" customHeight="1" x14ac:dyDescent="0.2">
      <c r="A114" s="199"/>
      <c r="B114" s="166"/>
      <c r="C114" s="166"/>
      <c r="D114" s="103"/>
      <c r="E114" s="176"/>
      <c r="F114" s="38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</row>
    <row r="115" spans="1:28" ht="12.75" hidden="1" customHeight="1" x14ac:dyDescent="0.2">
      <c r="A115" s="199"/>
      <c r="B115" s="166"/>
      <c r="C115" s="166"/>
      <c r="D115" s="103"/>
      <c r="E115" s="176"/>
      <c r="F115" s="38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</row>
    <row r="116" spans="1:28" ht="12.75" hidden="1" customHeight="1" x14ac:dyDescent="0.2">
      <c r="A116" s="199"/>
      <c r="B116" s="166"/>
      <c r="C116" s="166"/>
      <c r="D116" s="103"/>
      <c r="E116" s="176"/>
      <c r="F116" s="38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</row>
    <row r="117" spans="1:28" ht="12.75" hidden="1" customHeight="1" x14ac:dyDescent="0.2">
      <c r="A117" s="199"/>
      <c r="B117" s="166"/>
      <c r="C117" s="166"/>
      <c r="D117" s="103"/>
      <c r="E117" s="176"/>
      <c r="F117" s="38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</row>
    <row r="118" spans="1:28" ht="12.75" hidden="1" customHeight="1" x14ac:dyDescent="0.2">
      <c r="A118" s="199"/>
      <c r="B118" s="166"/>
      <c r="C118" s="166"/>
      <c r="D118" s="103"/>
      <c r="E118" s="176"/>
      <c r="F118" s="38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</row>
    <row r="119" spans="1:28" ht="12.75" hidden="1" customHeight="1" x14ac:dyDescent="0.2">
      <c r="A119" s="199"/>
      <c r="B119" s="166"/>
      <c r="C119" s="166"/>
      <c r="D119" s="103"/>
      <c r="E119" s="176"/>
      <c r="F119" s="38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</row>
    <row r="120" spans="1:28" ht="12.75" hidden="1" customHeight="1" x14ac:dyDescent="0.2">
      <c r="A120" s="199"/>
      <c r="B120" s="166"/>
      <c r="C120" s="166"/>
      <c r="D120" s="103"/>
      <c r="E120" s="176"/>
      <c r="F120" s="38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</row>
    <row r="121" spans="1:28" ht="19.5" customHeight="1" x14ac:dyDescent="0.25">
      <c r="A121" s="259" t="s">
        <v>91</v>
      </c>
      <c r="B121" s="259"/>
      <c r="C121" s="259"/>
      <c r="D121" s="259"/>
      <c r="E121" s="259"/>
      <c r="F121" s="38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</row>
    <row r="122" spans="1:28" ht="46.5" customHeight="1" x14ac:dyDescent="0.2">
      <c r="A122" s="62" t="s">
        <v>186</v>
      </c>
      <c r="B122" s="166" t="s">
        <v>32</v>
      </c>
      <c r="C122" s="166">
        <v>106.5</v>
      </c>
      <c r="D122" s="103">
        <f>ROUND(C122*1.1,0)*1.15</f>
        <v>134.54999999999998</v>
      </c>
      <c r="E122" s="176">
        <f>D122*1.04</f>
        <v>139.93199999999999</v>
      </c>
      <c r="F122" s="38">
        <v>588.41376630379375</v>
      </c>
      <c r="G122" s="37">
        <v>479.80520982128508</v>
      </c>
      <c r="H122" s="37">
        <v>364.19815902765276</v>
      </c>
      <c r="I122" s="37">
        <v>383.32218880066534</v>
      </c>
      <c r="J122" s="37">
        <v>291.73764017428641</v>
      </c>
      <c r="K122" s="37">
        <v>362.65495797111544</v>
      </c>
      <c r="L122" s="37">
        <v>433.28999354008613</v>
      </c>
      <c r="M122" s="37">
        <v>309.51073301785669</v>
      </c>
      <c r="N122" s="37">
        <v>190.43811801118784</v>
      </c>
      <c r="O122" s="37">
        <v>479.70964710169653</v>
      </c>
      <c r="P122" s="37">
        <v>319.17656573800662</v>
      </c>
      <c r="Q122" s="37">
        <v>438.82829161661249</v>
      </c>
      <c r="R122" s="37">
        <v>198.0961754683517</v>
      </c>
      <c r="S122" s="37">
        <v>270.4152525791485</v>
      </c>
      <c r="T122" s="37"/>
      <c r="U122" s="37"/>
      <c r="V122" s="37">
        <v>191.5235510150174</v>
      </c>
      <c r="W122" s="37">
        <v>192.05346517657844</v>
      </c>
      <c r="X122" s="37">
        <v>221.47001789923152</v>
      </c>
      <c r="Y122" s="37">
        <v>172.40004212606163</v>
      </c>
      <c r="Z122" s="37">
        <v>245.6868453011634</v>
      </c>
      <c r="AA122" s="37">
        <v>254.95531101261923</v>
      </c>
    </row>
    <row r="123" spans="1:28" ht="33" customHeight="1" x14ac:dyDescent="0.2">
      <c r="A123" s="62" t="s">
        <v>514</v>
      </c>
      <c r="B123" s="166"/>
      <c r="C123" s="166"/>
      <c r="D123" s="166"/>
      <c r="E123" s="176"/>
      <c r="F123" s="38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</row>
    <row r="124" spans="1:28" s="36" customFormat="1" ht="165.75" customHeight="1" x14ac:dyDescent="0.2">
      <c r="A124" s="201" t="s">
        <v>515</v>
      </c>
      <c r="B124" s="144" t="s">
        <v>715</v>
      </c>
      <c r="C124" s="84">
        <v>127.8</v>
      </c>
      <c r="D124" s="105">
        <v>162</v>
      </c>
      <c r="E124" s="179">
        <f t="shared" ref="E124:E130" si="12">D124*1.04</f>
        <v>168.48000000000002</v>
      </c>
      <c r="F124" s="129">
        <v>442.10029869851314</v>
      </c>
      <c r="G124" s="130">
        <v>239.90260491064254</v>
      </c>
      <c r="H124" s="130">
        <v>173.0414311851751</v>
      </c>
      <c r="I124" s="130">
        <v>191.66109440033267</v>
      </c>
      <c r="J124" s="130">
        <v>209.32554789794358</v>
      </c>
      <c r="K124" s="130">
        <v>181.32747898555772</v>
      </c>
      <c r="L124" s="130">
        <v>225.73093813780432</v>
      </c>
      <c r="M124" s="130">
        <v>154.75536650892835</v>
      </c>
      <c r="N124" s="130">
        <v>95.21905900559392</v>
      </c>
      <c r="O124" s="130">
        <v>233.84085588355697</v>
      </c>
      <c r="P124" s="130">
        <v>159.58828286900331</v>
      </c>
      <c r="Q124" s="130">
        <v>187.03171162214954</v>
      </c>
      <c r="R124" s="130">
        <v>99.048087734175851</v>
      </c>
      <c r="S124" s="130">
        <v>159.83530547289737</v>
      </c>
      <c r="T124" s="130"/>
      <c r="U124" s="130"/>
      <c r="V124" s="130">
        <v>95.761775507508702</v>
      </c>
      <c r="W124" s="130">
        <v>96.026732588289221</v>
      </c>
      <c r="X124" s="130">
        <v>110.73500894961576</v>
      </c>
      <c r="Y124" s="130">
        <v>86.200021063030817</v>
      </c>
      <c r="Z124" s="130">
        <v>122.8434226505817</v>
      </c>
      <c r="AA124" s="131">
        <v>180.11086563074463</v>
      </c>
      <c r="AB124" s="132"/>
    </row>
    <row r="125" spans="1:28" ht="93.75" hidden="1" customHeight="1" x14ac:dyDescent="0.2">
      <c r="A125" s="62" t="s">
        <v>189</v>
      </c>
      <c r="B125" s="89" t="s">
        <v>32</v>
      </c>
      <c r="C125" s="166">
        <v>159.75</v>
      </c>
      <c r="D125" s="103">
        <f t="shared" ref="D125" si="13">ROUND(C125*1.1,0)</f>
        <v>176</v>
      </c>
      <c r="E125" s="179">
        <f t="shared" si="12"/>
        <v>183.04000000000002</v>
      </c>
      <c r="F125" s="38">
        <v>552.62537337314143</v>
      </c>
      <c r="G125" s="37">
        <v>299.87825613830313</v>
      </c>
      <c r="H125" s="37">
        <v>216.30178898146886</v>
      </c>
      <c r="I125" s="37">
        <v>239.57636800041584</v>
      </c>
      <c r="J125" s="37">
        <v>261.65693487242953</v>
      </c>
      <c r="K125" s="37">
        <v>226.65934873194715</v>
      </c>
      <c r="L125" s="37">
        <v>282.16367267225542</v>
      </c>
      <c r="M125" s="37">
        <v>193.44420813616043</v>
      </c>
      <c r="N125" s="37">
        <v>119.02382375699241</v>
      </c>
      <c r="O125" s="37">
        <v>292.30106985444621</v>
      </c>
      <c r="P125" s="37">
        <v>199.48535358625412</v>
      </c>
      <c r="Q125" s="37">
        <v>274.2676822603828</v>
      </c>
      <c r="R125" s="37">
        <v>123.81010966771981</v>
      </c>
      <c r="S125" s="37">
        <v>199.79413184112173</v>
      </c>
      <c r="T125" s="37"/>
      <c r="U125" s="37"/>
      <c r="V125" s="37">
        <v>119.70221938438587</v>
      </c>
      <c r="W125" s="37">
        <v>144.1588451941698</v>
      </c>
      <c r="X125" s="37">
        <v>138.4187611870197</v>
      </c>
      <c r="Y125" s="37">
        <v>107.75002632878852</v>
      </c>
      <c r="Z125" s="37">
        <v>153.55427831322712</v>
      </c>
      <c r="AA125" s="83">
        <v>225.13858203843083</v>
      </c>
      <c r="AB125" s="133" t="s">
        <v>517</v>
      </c>
    </row>
    <row r="126" spans="1:28" ht="72" customHeight="1" x14ac:dyDescent="0.2">
      <c r="A126" s="62" t="s">
        <v>190</v>
      </c>
      <c r="B126" s="144" t="s">
        <v>716</v>
      </c>
      <c r="C126" s="166">
        <v>63.9</v>
      </c>
      <c r="D126" s="103">
        <v>81</v>
      </c>
      <c r="E126" s="179">
        <f t="shared" si="12"/>
        <v>84.240000000000009</v>
      </c>
      <c r="F126" s="38">
        <v>294.20688315189688</v>
      </c>
      <c r="G126" s="37">
        <v>239.90260491064254</v>
      </c>
      <c r="H126" s="37">
        <v>182.09907951382638</v>
      </c>
      <c r="I126" s="37">
        <v>202.55353999298987</v>
      </c>
      <c r="J126" s="37">
        <v>148.84829020772131</v>
      </c>
      <c r="K126" s="37">
        <v>132.25073037090198</v>
      </c>
      <c r="L126" s="37">
        <v>228.15281714308946</v>
      </c>
      <c r="M126" s="37">
        <v>179.64786528017635</v>
      </c>
      <c r="N126" s="37">
        <v>95.21905900559392</v>
      </c>
      <c r="O126" s="37">
        <v>201.08773868982274</v>
      </c>
      <c r="P126" s="37">
        <v>144.45358273783421</v>
      </c>
      <c r="Q126" s="37">
        <v>197.49340991397253</v>
      </c>
      <c r="R126" s="37">
        <v>99.048087734175851</v>
      </c>
      <c r="S126" s="37">
        <v>135.20762628957425</v>
      </c>
      <c r="T126" s="37"/>
      <c r="U126" s="37"/>
      <c r="V126" s="37">
        <v>95.761775507508702</v>
      </c>
      <c r="W126" s="37">
        <v>115.32707615533583</v>
      </c>
      <c r="X126" s="37">
        <v>99.827814719026918</v>
      </c>
      <c r="Y126" s="37">
        <v>86.200021063030817</v>
      </c>
      <c r="Z126" s="37">
        <v>122.8434226505817</v>
      </c>
      <c r="AA126" s="83">
        <v>88.355259586567826</v>
      </c>
      <c r="AB126" s="133"/>
    </row>
    <row r="127" spans="1:28" ht="20.25" customHeight="1" x14ac:dyDescent="0.2">
      <c r="A127" s="199" t="s">
        <v>518</v>
      </c>
      <c r="B127" s="166" t="s">
        <v>32</v>
      </c>
      <c r="C127" s="166">
        <v>159.75</v>
      </c>
      <c r="D127" s="103">
        <v>202</v>
      </c>
      <c r="E127" s="179">
        <f t="shared" si="12"/>
        <v>210.08</v>
      </c>
      <c r="F127" s="38">
        <v>320.90991591745905</v>
      </c>
      <c r="G127" s="37">
        <v>304.65347916484745</v>
      </c>
      <c r="H127" s="37">
        <v>273.14861927073957</v>
      </c>
      <c r="I127" s="37">
        <v>303.0798180443328</v>
      </c>
      <c r="J127" s="37">
        <v>181.86221414636867</v>
      </c>
      <c r="K127" s="37">
        <v>203.57621018669349</v>
      </c>
      <c r="L127" s="37">
        <v>245.64378420765075</v>
      </c>
      <c r="M127" s="37">
        <v>269.47179792026446</v>
      </c>
      <c r="N127" s="37"/>
      <c r="O127" s="37">
        <v>301.6316080347342</v>
      </c>
      <c r="P127" s="37"/>
      <c r="Q127" s="37"/>
      <c r="R127" s="37">
        <v>141.76297325955548</v>
      </c>
      <c r="S127" s="37">
        <v>202.81143943436135</v>
      </c>
      <c r="T127" s="37">
        <v>129.30907848206954</v>
      </c>
      <c r="U127" s="37"/>
      <c r="V127" s="37">
        <v>143.64266326126307</v>
      </c>
      <c r="W127" s="37"/>
      <c r="X127" s="37">
        <v>125.85844732873973</v>
      </c>
      <c r="Y127" s="37"/>
      <c r="Z127" s="37">
        <v>187.16694710935082</v>
      </c>
      <c r="AA127" s="37">
        <v>191.21648325946444</v>
      </c>
    </row>
    <row r="128" spans="1:28" ht="20.25" customHeight="1" x14ac:dyDescent="0.2">
      <c r="A128" s="199" t="s">
        <v>519</v>
      </c>
      <c r="B128" s="166" t="s">
        <v>32</v>
      </c>
      <c r="C128" s="166">
        <v>213</v>
      </c>
      <c r="D128" s="103">
        <v>269</v>
      </c>
      <c r="E128" s="179">
        <f t="shared" si="12"/>
        <v>279.76</v>
      </c>
      <c r="F128" s="38">
        <v>267.42492993121579</v>
      </c>
      <c r="G128" s="37">
        <v>224.58551154498693</v>
      </c>
      <c r="H128" s="37">
        <v>227.62384939228301</v>
      </c>
      <c r="I128" s="37">
        <v>252.566515036944</v>
      </c>
      <c r="J128" s="37">
        <v>151.55184512197388</v>
      </c>
      <c r="K128" s="37">
        <v>174.37289769982527</v>
      </c>
      <c r="L128" s="37"/>
      <c r="M128" s="37"/>
      <c r="N128" s="37"/>
      <c r="O128" s="37">
        <v>251.35967336227847</v>
      </c>
      <c r="P128" s="37">
        <v>140.21207246730299</v>
      </c>
      <c r="Q128" s="37"/>
      <c r="R128" s="37">
        <v>118.13581104962957</v>
      </c>
      <c r="S128" s="37">
        <v>169.00953286196781</v>
      </c>
      <c r="T128" s="37"/>
      <c r="U128" s="37"/>
      <c r="V128" s="37">
        <v>119.70221938438587</v>
      </c>
      <c r="W128" s="37"/>
      <c r="X128" s="37">
        <v>124.78476839878365</v>
      </c>
      <c r="Y128" s="37"/>
      <c r="Z128" s="37">
        <v>155.97245592445901</v>
      </c>
      <c r="AA128" s="37">
        <v>159.34706938288701</v>
      </c>
    </row>
    <row r="129" spans="1:28" ht="39" customHeight="1" x14ac:dyDescent="0.2">
      <c r="A129" s="199" t="s">
        <v>520</v>
      </c>
      <c r="B129" s="166" t="s">
        <v>229</v>
      </c>
      <c r="C129" s="166">
        <v>10.65</v>
      </c>
      <c r="D129" s="103">
        <v>14</v>
      </c>
      <c r="E129" s="179">
        <f t="shared" si="12"/>
        <v>14.56</v>
      </c>
      <c r="F129" s="38">
        <f>333.746141083531/30</f>
        <v>11.124871369451032</v>
      </c>
      <c r="G129" s="37">
        <f>304.653479164847/30</f>
        <v>10.155115972161566</v>
      </c>
      <c r="H129" s="37">
        <f>273.14861927074/30</f>
        <v>9.104953975691334</v>
      </c>
      <c r="I129" s="37"/>
      <c r="J129" s="37">
        <f>181.862214146369/30</f>
        <v>6.0620738048789669</v>
      </c>
      <c r="K129" s="37"/>
      <c r="L129" s="37"/>
      <c r="M129" s="37"/>
      <c r="N129" s="37"/>
      <c r="O129" s="37">
        <f>301.631608034734/30</f>
        <v>10.054386934491133</v>
      </c>
      <c r="P129" s="37">
        <f>201.734940565356/30</f>
        <v>6.7244980188451997</v>
      </c>
      <c r="Q129" s="37"/>
      <c r="R129" s="37"/>
      <c r="S129" s="37">
        <f>202.811439434361/30</f>
        <v>6.7603813144787006</v>
      </c>
      <c r="T129" s="37"/>
      <c r="U129" s="37"/>
      <c r="V129" s="37">
        <f>143.642663261263/30</f>
        <v>4.7880887753754333</v>
      </c>
      <c r="W129" s="37"/>
      <c r="X129" s="37">
        <f>149.74172207854/30</f>
        <v>4.9913907359513328</v>
      </c>
      <c r="Y129" s="37"/>
      <c r="Z129" s="37">
        <f>187.166947109351/30</f>
        <v>6.2388982369783674</v>
      </c>
      <c r="AA129" s="37">
        <f>207.844003542896/30</f>
        <v>6.9281334514298667</v>
      </c>
    </row>
    <row r="130" spans="1:28" ht="104.25" customHeight="1" x14ac:dyDescent="0.2">
      <c r="A130" s="199" t="s">
        <v>516</v>
      </c>
      <c r="B130" s="89" t="s">
        <v>717</v>
      </c>
      <c r="C130" s="166">
        <v>21.3</v>
      </c>
      <c r="D130" s="103">
        <v>26</v>
      </c>
      <c r="E130" s="179">
        <f t="shared" si="12"/>
        <v>27.04</v>
      </c>
      <c r="F130" s="38">
        <v>220.65516236392267</v>
      </c>
      <c r="G130" s="37">
        <v>179.92695368298186</v>
      </c>
      <c r="H130" s="37">
        <v>129.78107338888128</v>
      </c>
      <c r="I130" s="37">
        <v>143.7458208002495</v>
      </c>
      <c r="J130" s="37">
        <v>109.40161506535742</v>
      </c>
      <c r="K130" s="37">
        <v>135.99560923916829</v>
      </c>
      <c r="L130" s="37">
        <v>162.48374757753228</v>
      </c>
      <c r="M130" s="37">
        <v>116.06652488169624</v>
      </c>
      <c r="N130" s="37">
        <v>71.41429425419544</v>
      </c>
      <c r="O130" s="37">
        <v>150.8158040173671</v>
      </c>
      <c r="P130" s="37">
        <v>119.6912121517525</v>
      </c>
      <c r="Q130" s="37">
        <v>164.56060935622969</v>
      </c>
      <c r="R130" s="37">
        <v>74.286065800631889</v>
      </c>
      <c r="S130" s="37">
        <v>119.87647910467302</v>
      </c>
      <c r="T130" s="37"/>
      <c r="U130" s="37"/>
      <c r="V130" s="37">
        <v>71.821331630631533</v>
      </c>
      <c r="W130" s="37">
        <v>72.020049441216941</v>
      </c>
      <c r="X130" s="37">
        <v>74.870861039270181</v>
      </c>
      <c r="Y130" s="37">
        <v>64.650015797273113</v>
      </c>
      <c r="Z130" s="37">
        <v>92.132566987936286</v>
      </c>
      <c r="AA130" s="83">
        <v>95.60824162973222</v>
      </c>
      <c r="AB130" s="133"/>
    </row>
    <row r="131" spans="1:28" ht="108" customHeight="1" x14ac:dyDescent="0.2">
      <c r="A131" s="192" t="s">
        <v>521</v>
      </c>
      <c r="B131" s="84"/>
      <c r="C131" s="166"/>
      <c r="D131" s="177"/>
      <c r="E131" s="179"/>
      <c r="F131" s="38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83"/>
      <c r="AB131" s="291"/>
    </row>
    <row r="132" spans="1:28" ht="92.25" customHeight="1" x14ac:dyDescent="0.2">
      <c r="A132" s="192" t="s">
        <v>522</v>
      </c>
      <c r="B132" s="144" t="s">
        <v>716</v>
      </c>
      <c r="C132" s="166">
        <v>15.98</v>
      </c>
      <c r="D132" s="178">
        <v>21</v>
      </c>
      <c r="E132" s="179">
        <f t="shared" ref="E132:E137" si="14">D132*1.04</f>
        <v>21.84</v>
      </c>
      <c r="F132" s="38">
        <v>116.61560127516759</v>
      </c>
      <c r="G132" s="37">
        <v>102.09690258498219</v>
      </c>
      <c r="H132" s="37">
        <v>98.354734562108007</v>
      </c>
      <c r="I132" s="37">
        <v>108.21416853545597</v>
      </c>
      <c r="J132" s="37">
        <v>82.524898220751979</v>
      </c>
      <c r="K132" s="37">
        <v>95.096875170718661</v>
      </c>
      <c r="L132" s="37">
        <v>120.70141411158815</v>
      </c>
      <c r="M132" s="37">
        <v>95.702076169018852</v>
      </c>
      <c r="N132" s="37">
        <v>56.7341743891606</v>
      </c>
      <c r="O132" s="37">
        <v>107.57382902624821</v>
      </c>
      <c r="P132" s="37">
        <v>75.236658879513939</v>
      </c>
      <c r="Q132" s="37">
        <v>107.17501053160213</v>
      </c>
      <c r="R132" s="37">
        <v>53.304389941468095</v>
      </c>
      <c r="S132" s="37">
        <v>74.223623540341222</v>
      </c>
      <c r="T132" s="37">
        <v>37.115744608888825</v>
      </c>
      <c r="U132" s="37">
        <v>8.4339488636363633</v>
      </c>
      <c r="V132" s="37">
        <v>57.349105083299804</v>
      </c>
      <c r="W132" s="37">
        <v>90.219509620964004</v>
      </c>
      <c r="X132" s="37">
        <v>54.885498268604366</v>
      </c>
      <c r="Y132" s="37">
        <v>45.779479103581949</v>
      </c>
      <c r="Z132" s="37">
        <v>68.013326232123148</v>
      </c>
      <c r="AA132" s="83">
        <v>86.229216082326715</v>
      </c>
      <c r="AB132" s="291"/>
    </row>
    <row r="133" spans="1:28" ht="131.25" customHeight="1" x14ac:dyDescent="0.2">
      <c r="A133" s="202" t="s">
        <v>643</v>
      </c>
      <c r="B133" s="144" t="s">
        <v>756</v>
      </c>
      <c r="C133" s="166"/>
      <c r="D133" s="178">
        <v>81</v>
      </c>
      <c r="E133" s="179">
        <f t="shared" si="14"/>
        <v>84.240000000000009</v>
      </c>
      <c r="F133" s="38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83"/>
      <c r="AB133" s="291"/>
    </row>
    <row r="134" spans="1:28" ht="103.5" customHeight="1" x14ac:dyDescent="0.2">
      <c r="A134" s="199" t="s">
        <v>523</v>
      </c>
      <c r="B134" s="89" t="s">
        <v>717</v>
      </c>
      <c r="C134" s="166">
        <v>42.6</v>
      </c>
      <c r="D134" s="178">
        <v>54</v>
      </c>
      <c r="E134" s="179">
        <f t="shared" si="14"/>
        <v>56.160000000000004</v>
      </c>
      <c r="F134" s="38">
        <v>161.95936897905213</v>
      </c>
      <c r="G134" s="37">
        <v>143.13828821439924</v>
      </c>
      <c r="H134" s="37">
        <v>136.57430963536979</v>
      </c>
      <c r="I134" s="37">
        <v>151.91515499474238</v>
      </c>
      <c r="J134" s="37">
        <v>111.63621765579097</v>
      </c>
      <c r="K134" s="37">
        <v>131.65061409536369</v>
      </c>
      <c r="L134" s="37">
        <v>171.11461285731707</v>
      </c>
      <c r="M134" s="37">
        <v>134.73589896013223</v>
      </c>
      <c r="N134" s="37">
        <v>71.41429425419544</v>
      </c>
      <c r="O134" s="37">
        <v>150.8158040173671</v>
      </c>
      <c r="P134" s="37">
        <v>102.09609993043205</v>
      </c>
      <c r="Q134" s="37">
        <v>148.1200574354794</v>
      </c>
      <c r="R134" s="37">
        <v>74.286065800631889</v>
      </c>
      <c r="S134" s="37">
        <v>101.40571971718067</v>
      </c>
      <c r="T134" s="37">
        <v>49.772892137441573</v>
      </c>
      <c r="U134" s="37"/>
      <c r="V134" s="37">
        <v>71.821331630631533</v>
      </c>
      <c r="W134" s="37">
        <v>86.495307116501863</v>
      </c>
      <c r="X134" s="37">
        <v>74.870861039270181</v>
      </c>
      <c r="Y134" s="37">
        <v>64.650015797273113</v>
      </c>
      <c r="Z134" s="37">
        <v>92.132566987936286</v>
      </c>
      <c r="AA134" s="83">
        <v>118.81242470409117</v>
      </c>
      <c r="AB134" s="291"/>
    </row>
    <row r="135" spans="1:28" ht="117" customHeight="1" x14ac:dyDescent="0.2">
      <c r="A135" s="192" t="s">
        <v>524</v>
      </c>
      <c r="B135" s="89" t="s">
        <v>718</v>
      </c>
      <c r="C135" s="166">
        <v>31.95</v>
      </c>
      <c r="D135" s="178">
        <v>40</v>
      </c>
      <c r="E135" s="179">
        <f t="shared" si="14"/>
        <v>41.6</v>
      </c>
      <c r="F135" s="38">
        <v>53.986456326350705</v>
      </c>
      <c r="G135" s="37">
        <v>47.71276273813308</v>
      </c>
      <c r="H135" s="37">
        <v>45.524769878456596</v>
      </c>
      <c r="I135" s="37">
        <v>50.638384998247467</v>
      </c>
      <c r="J135" s="37">
        <v>37.212072551930326</v>
      </c>
      <c r="K135" s="37">
        <v>43.883538031787893</v>
      </c>
      <c r="L135" s="37">
        <v>57.038204285772366</v>
      </c>
      <c r="M135" s="37">
        <v>44.911966320044087</v>
      </c>
      <c r="N135" s="37">
        <v>23.80476475139848</v>
      </c>
      <c r="O135" s="37">
        <v>50.271934672455686</v>
      </c>
      <c r="P135" s="37">
        <v>34.032033310144016</v>
      </c>
      <c r="Q135" s="37">
        <v>49.373352478493132</v>
      </c>
      <c r="R135" s="37">
        <v>24.762021933543963</v>
      </c>
      <c r="S135" s="37">
        <v>33.801906572393563</v>
      </c>
      <c r="T135" s="37">
        <v>16.590964045813859</v>
      </c>
      <c r="U135" s="37"/>
      <c r="V135" s="37">
        <v>23.940443876877175</v>
      </c>
      <c r="W135" s="37">
        <v>28.831769038833958</v>
      </c>
      <c r="X135" s="37">
        <v>24.95695367975673</v>
      </c>
      <c r="Y135" s="37">
        <v>21.550005265757704</v>
      </c>
      <c r="Z135" s="37">
        <v>30.710855662645425</v>
      </c>
      <c r="AA135" s="83">
        <v>39.604141568030386</v>
      </c>
      <c r="AB135" s="291"/>
    </row>
    <row r="136" spans="1:28" ht="141" customHeight="1" x14ac:dyDescent="0.2">
      <c r="A136" s="62" t="s">
        <v>198</v>
      </c>
      <c r="B136" s="166" t="s">
        <v>32</v>
      </c>
      <c r="C136" s="166"/>
      <c r="D136" s="178">
        <v>33</v>
      </c>
      <c r="E136" s="179">
        <f t="shared" si="14"/>
        <v>34.32</v>
      </c>
      <c r="F136" s="38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83"/>
      <c r="AB136" s="291"/>
    </row>
    <row r="137" spans="1:28" ht="60.75" customHeight="1" x14ac:dyDescent="0.2">
      <c r="A137" s="292" t="s">
        <v>525</v>
      </c>
      <c r="B137" s="293" t="s">
        <v>32</v>
      </c>
      <c r="C137" s="166"/>
      <c r="D137" s="294">
        <v>33</v>
      </c>
      <c r="E137" s="282">
        <f t="shared" si="14"/>
        <v>34.32</v>
      </c>
      <c r="F137" s="38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</row>
    <row r="138" spans="1:28" ht="30" customHeight="1" x14ac:dyDescent="0.2">
      <c r="A138" s="292"/>
      <c r="B138" s="293"/>
      <c r="C138" s="166">
        <v>21.3</v>
      </c>
      <c r="D138" s="294"/>
      <c r="E138" s="282"/>
      <c r="F138" s="38">
        <v>220.65516236392267</v>
      </c>
      <c r="G138" s="37">
        <v>143.13828821439924</v>
      </c>
      <c r="H138" s="37">
        <v>129.78107338888128</v>
      </c>
      <c r="I138" s="37">
        <v>143.7458208002495</v>
      </c>
      <c r="J138" s="37">
        <v>109.40161506535742</v>
      </c>
      <c r="K138" s="37">
        <v>135.99560923916829</v>
      </c>
      <c r="L138" s="37">
        <v>169.29820360335322</v>
      </c>
      <c r="M138" s="37">
        <v>116.06652488169624</v>
      </c>
      <c r="N138" s="37">
        <v>71.41429425419544</v>
      </c>
      <c r="O138" s="37">
        <v>179.89111766313619</v>
      </c>
      <c r="P138" s="37">
        <v>119.6912121517525</v>
      </c>
      <c r="Q138" s="37">
        <v>140.27378371661217</v>
      </c>
      <c r="R138" s="37">
        <v>74.286065800631889</v>
      </c>
      <c r="S138" s="37">
        <v>119.87647910467302</v>
      </c>
      <c r="T138" s="37">
        <v>71.643500861983512</v>
      </c>
      <c r="U138" s="37"/>
      <c r="V138" s="37">
        <v>71.821331630631533</v>
      </c>
      <c r="W138" s="37">
        <v>86.495307116501863</v>
      </c>
      <c r="X138" s="37">
        <v>74.870861039270181</v>
      </c>
      <c r="Y138" s="37">
        <v>64.650015797273113</v>
      </c>
      <c r="Z138" s="37">
        <v>92.132566987936286</v>
      </c>
      <c r="AA138" s="37">
        <v>95.60824162973222</v>
      </c>
    </row>
    <row r="139" spans="1:28" ht="31.5" hidden="1" customHeight="1" x14ac:dyDescent="0.2">
      <c r="A139" s="62" t="s">
        <v>202</v>
      </c>
      <c r="B139" s="166"/>
      <c r="C139" s="166"/>
      <c r="D139" s="166">
        <f t="shared" ref="D139:D146" si="15">ROUND(C139*1.1,2)</f>
        <v>0</v>
      </c>
      <c r="E139" s="282">
        <f>D140*1.04</f>
        <v>238.16</v>
      </c>
      <c r="F139" s="283">
        <f t="shared" ref="F139:AA139" si="16">E140*1.04</f>
        <v>0</v>
      </c>
      <c r="G139" s="283">
        <f t="shared" si="16"/>
        <v>0</v>
      </c>
      <c r="H139" s="283">
        <f t="shared" si="16"/>
        <v>0</v>
      </c>
      <c r="I139" s="283">
        <f t="shared" si="16"/>
        <v>0</v>
      </c>
      <c r="J139" s="283">
        <f t="shared" si="16"/>
        <v>0</v>
      </c>
      <c r="K139" s="283">
        <f t="shared" si="16"/>
        <v>0</v>
      </c>
      <c r="L139" s="283">
        <f t="shared" si="16"/>
        <v>0</v>
      </c>
      <c r="M139" s="283">
        <f t="shared" si="16"/>
        <v>0</v>
      </c>
      <c r="N139" s="283">
        <f t="shared" si="16"/>
        <v>0</v>
      </c>
      <c r="O139" s="283">
        <f t="shared" si="16"/>
        <v>0</v>
      </c>
      <c r="P139" s="283">
        <f t="shared" si="16"/>
        <v>0</v>
      </c>
      <c r="Q139" s="283">
        <f t="shared" si="16"/>
        <v>0</v>
      </c>
      <c r="R139" s="283">
        <f t="shared" si="16"/>
        <v>0</v>
      </c>
      <c r="S139" s="283">
        <f t="shared" si="16"/>
        <v>0</v>
      </c>
      <c r="T139" s="283">
        <f t="shared" si="16"/>
        <v>0</v>
      </c>
      <c r="U139" s="283">
        <f t="shared" si="16"/>
        <v>0</v>
      </c>
      <c r="V139" s="283">
        <f t="shared" si="16"/>
        <v>0</v>
      </c>
      <c r="W139" s="283">
        <f t="shared" si="16"/>
        <v>0</v>
      </c>
      <c r="X139" s="283">
        <f t="shared" si="16"/>
        <v>0</v>
      </c>
      <c r="Y139" s="283">
        <f t="shared" si="16"/>
        <v>0</v>
      </c>
      <c r="Z139" s="283">
        <f t="shared" si="16"/>
        <v>0</v>
      </c>
      <c r="AA139" s="283">
        <f t="shared" si="16"/>
        <v>0</v>
      </c>
    </row>
    <row r="140" spans="1:28" ht="51.75" customHeight="1" x14ac:dyDescent="0.2">
      <c r="A140" s="199" t="s">
        <v>407</v>
      </c>
      <c r="B140" s="166" t="s">
        <v>32</v>
      </c>
      <c r="C140" s="166"/>
      <c r="D140" s="176">
        <v>229</v>
      </c>
      <c r="E140" s="282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 s="284"/>
      <c r="U140" s="284"/>
      <c r="V140" s="284"/>
      <c r="W140" s="284"/>
      <c r="X140" s="284"/>
      <c r="Y140" s="284"/>
      <c r="Z140" s="284"/>
      <c r="AA140" s="284"/>
    </row>
    <row r="141" spans="1:28" ht="51.75" customHeight="1" x14ac:dyDescent="0.2">
      <c r="A141" s="203" t="s">
        <v>606</v>
      </c>
      <c r="B141" s="166" t="s">
        <v>32</v>
      </c>
      <c r="C141" s="166">
        <v>206.61</v>
      </c>
      <c r="D141" s="103">
        <v>269</v>
      </c>
      <c r="E141" s="179">
        <f t="shared" ref="E141:E150" si="17">D141*1.04</f>
        <v>279.76</v>
      </c>
      <c r="F141" s="38">
        <v>539.44613201539721</v>
      </c>
      <c r="G141" s="37">
        <v>529.48243527081081</v>
      </c>
      <c r="H141" s="37">
        <v>441.48723990376095</v>
      </c>
      <c r="I141" s="37">
        <v>406.18311911007277</v>
      </c>
      <c r="J141" s="37">
        <v>324.88927351751727</v>
      </c>
      <c r="K141" s="37">
        <v>339.13640355293001</v>
      </c>
      <c r="L141" s="37">
        <v>444.17926237377526</v>
      </c>
      <c r="M141" s="37">
        <v>366.02639956999803</v>
      </c>
      <c r="N141" s="37">
        <v>285.65717701678176</v>
      </c>
      <c r="O141" s="37">
        <v>478.09003609606168</v>
      </c>
      <c r="P141" s="37">
        <v>356.34160807417231</v>
      </c>
      <c r="Q141" s="37">
        <v>320.0237699597256</v>
      </c>
      <c r="R141" s="37">
        <v>212.92676694758745</v>
      </c>
      <c r="S141" s="37">
        <v>316.70297709146945</v>
      </c>
      <c r="T141" s="37">
        <v>286.57400344793405</v>
      </c>
      <c r="U141" s="37">
        <v>368.54066550231033</v>
      </c>
      <c r="V141" s="37">
        <v>287.28532652252613</v>
      </c>
      <c r="W141" s="37">
        <v>345.98122846600745</v>
      </c>
      <c r="X141" s="37">
        <v>368.92640854116843</v>
      </c>
      <c r="Y141" s="37">
        <v>147.41892969782407</v>
      </c>
      <c r="Z141" s="37">
        <v>355.26014316775274</v>
      </c>
      <c r="AA141" s="37">
        <v>337.88009638846006</v>
      </c>
    </row>
    <row r="142" spans="1:28" ht="63" customHeight="1" x14ac:dyDescent="0.2">
      <c r="A142" s="202" t="s">
        <v>526</v>
      </c>
      <c r="B142" s="166" t="s">
        <v>32</v>
      </c>
      <c r="C142" s="166"/>
      <c r="D142" s="103">
        <f>234*1.15</f>
        <v>269.09999999999997</v>
      </c>
      <c r="E142" s="179">
        <f t="shared" si="17"/>
        <v>279.86399999999998</v>
      </c>
      <c r="F142" s="38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</row>
    <row r="143" spans="1:28" ht="61.5" customHeight="1" x14ac:dyDescent="0.2">
      <c r="A143" s="203" t="s">
        <v>209</v>
      </c>
      <c r="B143" s="166" t="s">
        <v>32</v>
      </c>
      <c r="C143" s="166"/>
      <c r="D143" s="176">
        <v>225</v>
      </c>
      <c r="E143" s="179">
        <f t="shared" si="17"/>
        <v>234</v>
      </c>
      <c r="F143" s="38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83"/>
      <c r="AB143" s="90"/>
    </row>
    <row r="144" spans="1:28" ht="39" customHeight="1" x14ac:dyDescent="0.2">
      <c r="A144" s="203" t="s">
        <v>57</v>
      </c>
      <c r="B144" s="166" t="s">
        <v>32</v>
      </c>
      <c r="C144" s="166"/>
      <c r="D144" s="176">
        <v>337</v>
      </c>
      <c r="E144" s="179">
        <f t="shared" si="17"/>
        <v>350.48</v>
      </c>
      <c r="F144" s="38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</row>
    <row r="145" spans="1:27" ht="92.25" customHeight="1" x14ac:dyDescent="0.2">
      <c r="A145" s="204" t="s">
        <v>607</v>
      </c>
      <c r="B145" s="166" t="s">
        <v>32</v>
      </c>
      <c r="C145" s="166">
        <v>206.61</v>
      </c>
      <c r="D145" s="103">
        <v>269</v>
      </c>
      <c r="E145" s="179">
        <f t="shared" si="17"/>
        <v>279.76</v>
      </c>
      <c r="F145" s="38">
        <v>539.44613201539721</v>
      </c>
      <c r="G145" s="37">
        <v>529.48243527081081</v>
      </c>
      <c r="H145" s="37">
        <v>441.48723990376095</v>
      </c>
      <c r="I145" s="37">
        <v>406.18311911007277</v>
      </c>
      <c r="J145" s="37">
        <v>324.88927351751727</v>
      </c>
      <c r="K145" s="37">
        <v>339.13640355293001</v>
      </c>
      <c r="L145" s="37">
        <v>444.17926237377526</v>
      </c>
      <c r="M145" s="37">
        <v>366.02639956999803</v>
      </c>
      <c r="N145" s="37">
        <v>285.65717701678176</v>
      </c>
      <c r="O145" s="37">
        <v>478.09003609606168</v>
      </c>
      <c r="P145" s="37">
        <v>356.34160807417231</v>
      </c>
      <c r="Q145" s="37">
        <v>320.0237699597256</v>
      </c>
      <c r="R145" s="37">
        <v>212.92676694758745</v>
      </c>
      <c r="S145" s="37">
        <v>316.70297709146945</v>
      </c>
      <c r="T145" s="37">
        <v>286.57400344793405</v>
      </c>
      <c r="U145" s="37">
        <v>368.54066550231033</v>
      </c>
      <c r="V145" s="37">
        <v>287.28532652252613</v>
      </c>
      <c r="W145" s="37">
        <v>345.98122846600745</v>
      </c>
      <c r="X145" s="37">
        <v>368.92640854116843</v>
      </c>
      <c r="Y145" s="37">
        <v>147.41892969782407</v>
      </c>
      <c r="Z145" s="37">
        <v>355.26014316775274</v>
      </c>
      <c r="AA145" s="37">
        <v>337.88009638846006</v>
      </c>
    </row>
    <row r="146" spans="1:27" ht="18.75" hidden="1" customHeight="1" outlineLevel="1" x14ac:dyDescent="0.2">
      <c r="A146" s="203" t="s">
        <v>216</v>
      </c>
      <c r="B146" s="166" t="s">
        <v>32</v>
      </c>
      <c r="C146" s="166"/>
      <c r="D146" s="166">
        <f t="shared" si="15"/>
        <v>0</v>
      </c>
      <c r="E146" s="179">
        <f t="shared" si="17"/>
        <v>0</v>
      </c>
      <c r="F146" s="38">
        <v>294.20688315189688</v>
      </c>
      <c r="G146" s="37">
        <v>190.85105095253232</v>
      </c>
      <c r="H146" s="37">
        <v>173.0414311851751</v>
      </c>
      <c r="I146" s="37">
        <v>191.66109440033267</v>
      </c>
      <c r="J146" s="37">
        <v>145.86882008714321</v>
      </c>
      <c r="K146" s="37">
        <v>181.32747898555772</v>
      </c>
      <c r="L146" s="37">
        <v>216.64499677004306</v>
      </c>
      <c r="M146" s="37">
        <v>154.75536650892835</v>
      </c>
      <c r="N146" s="37">
        <v>95.21905900559392</v>
      </c>
      <c r="O146" s="37">
        <v>201.08773868982274</v>
      </c>
      <c r="P146" s="37">
        <v>159.58828286900331</v>
      </c>
      <c r="Q146" s="37">
        <v>219.41414580830624</v>
      </c>
      <c r="R146" s="37">
        <v>99.048087734175851</v>
      </c>
      <c r="S146" s="37">
        <v>135.20762628957425</v>
      </c>
      <c r="T146" s="37">
        <v>95.524667815978006</v>
      </c>
      <c r="U146" s="37">
        <v>122.84688850077011</v>
      </c>
      <c r="V146" s="37">
        <v>95.761775507508702</v>
      </c>
      <c r="W146" s="37">
        <v>115.32707615533583</v>
      </c>
      <c r="X146" s="37">
        <v>99.827814719026918</v>
      </c>
      <c r="Y146" s="37">
        <v>86.200021063030817</v>
      </c>
      <c r="Z146" s="37">
        <v>122.8434226505817</v>
      </c>
      <c r="AA146" s="37">
        <v>127.47765550630962</v>
      </c>
    </row>
    <row r="147" spans="1:27" ht="46.5" customHeight="1" outlineLevel="1" x14ac:dyDescent="0.2">
      <c r="A147" s="202" t="s">
        <v>527</v>
      </c>
      <c r="B147" s="166" t="s">
        <v>32</v>
      </c>
      <c r="C147" s="166"/>
      <c r="D147" s="103">
        <v>269</v>
      </c>
      <c r="E147" s="179">
        <f t="shared" si="17"/>
        <v>279.76</v>
      </c>
      <c r="F147" s="38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</row>
    <row r="148" spans="1:27" ht="69" customHeight="1" x14ac:dyDescent="0.2">
      <c r="A148" s="203" t="s">
        <v>528</v>
      </c>
      <c r="B148" s="166" t="s">
        <v>32</v>
      </c>
      <c r="C148" s="166"/>
      <c r="D148" s="176">
        <v>33</v>
      </c>
      <c r="E148" s="179">
        <f t="shared" si="17"/>
        <v>34.32</v>
      </c>
      <c r="F148" s="38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</row>
    <row r="149" spans="1:27" ht="97.5" customHeight="1" x14ac:dyDescent="0.2">
      <c r="A149" s="204" t="s">
        <v>608</v>
      </c>
      <c r="B149" s="166" t="s">
        <v>32</v>
      </c>
      <c r="C149" s="166">
        <v>206.61</v>
      </c>
      <c r="D149" s="103">
        <v>269</v>
      </c>
      <c r="E149" s="179">
        <f t="shared" si="17"/>
        <v>279.76</v>
      </c>
      <c r="F149" s="38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</row>
    <row r="150" spans="1:27" ht="51" customHeight="1" outlineLevel="1" x14ac:dyDescent="0.2">
      <c r="A150" s="202" t="s">
        <v>527</v>
      </c>
      <c r="B150" s="166" t="s">
        <v>32</v>
      </c>
      <c r="C150" s="166"/>
      <c r="D150" s="103">
        <f>234*1.15</f>
        <v>269.09999999999997</v>
      </c>
      <c r="E150" s="179">
        <f t="shared" si="17"/>
        <v>279.86399999999998</v>
      </c>
      <c r="F150" s="38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</row>
    <row r="151" spans="1:27" ht="78" customHeight="1" x14ac:dyDescent="0.2">
      <c r="A151" s="202" t="s">
        <v>529</v>
      </c>
      <c r="B151" s="166"/>
      <c r="C151" s="166"/>
      <c r="D151" s="166"/>
      <c r="E151" s="176"/>
      <c r="F151" s="38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</row>
    <row r="152" spans="1:27" ht="66" customHeight="1" x14ac:dyDescent="0.2">
      <c r="A152" s="199" t="s">
        <v>530</v>
      </c>
      <c r="B152" s="166" t="s">
        <v>32</v>
      </c>
      <c r="C152" s="166">
        <v>159.75</v>
      </c>
      <c r="D152" s="103">
        <v>202</v>
      </c>
      <c r="E152" s="179">
        <f>D152*1.04</f>
        <v>210.08</v>
      </c>
      <c r="F152" s="38">
        <v>588.41376630379375</v>
      </c>
      <c r="G152" s="37">
        <v>381.70210190506464</v>
      </c>
      <c r="H152" s="37">
        <v>346.0828623703502</v>
      </c>
      <c r="I152" s="37">
        <v>383.32218880066534</v>
      </c>
      <c r="J152" s="37">
        <v>418.65109579588716</v>
      </c>
      <c r="K152" s="37">
        <v>362.65495797111544</v>
      </c>
      <c r="L152" s="37">
        <v>433.28999354008613</v>
      </c>
      <c r="M152" s="37">
        <v>309.51073301785669</v>
      </c>
      <c r="N152" s="37">
        <v>190.43811801118784</v>
      </c>
      <c r="O152" s="37">
        <v>402.17547737964549</v>
      </c>
      <c r="P152" s="37">
        <v>319.17656573800662</v>
      </c>
      <c r="Q152" s="37">
        <v>322.39822576187464</v>
      </c>
      <c r="R152" s="37">
        <v>198.0961754683517</v>
      </c>
      <c r="S152" s="37">
        <v>319.67061094579475</v>
      </c>
      <c r="T152" s="37">
        <v>191.04933563195601</v>
      </c>
      <c r="U152" s="37">
        <v>245.69377700154021</v>
      </c>
      <c r="V152" s="37">
        <v>191.5235510150174</v>
      </c>
      <c r="W152" s="37">
        <v>230.65415231067166</v>
      </c>
      <c r="X152" s="37">
        <v>199.65562943805384</v>
      </c>
      <c r="Y152" s="37">
        <v>172.40004212606163</v>
      </c>
      <c r="Z152" s="37">
        <v>245.6868453011634</v>
      </c>
      <c r="AA152" s="37">
        <v>254.95531101261923</v>
      </c>
    </row>
    <row r="153" spans="1:27" ht="90" customHeight="1" x14ac:dyDescent="0.2">
      <c r="A153" s="199" t="s">
        <v>531</v>
      </c>
      <c r="B153" s="166" t="s">
        <v>32</v>
      </c>
      <c r="C153" s="166">
        <v>213</v>
      </c>
      <c r="D153" s="103">
        <v>269</v>
      </c>
      <c r="E153" s="179">
        <f>D153*1.04</f>
        <v>279.76</v>
      </c>
      <c r="F153" s="38">
        <v>393.39308843904683</v>
      </c>
      <c r="G153" s="37">
        <v>572.55315285759696</v>
      </c>
      <c r="H153" s="37">
        <v>519.12429355552513</v>
      </c>
      <c r="I153" s="37">
        <v>574.98328320099802</v>
      </c>
      <c r="J153" s="37">
        <v>437.60646026142967</v>
      </c>
      <c r="K153" s="37">
        <v>526.60245638145477</v>
      </c>
      <c r="L153" s="37">
        <v>649.93499031012914</v>
      </c>
      <c r="M153" s="37">
        <v>464.26609952678496</v>
      </c>
      <c r="N153" s="37">
        <v>285.65717701678176</v>
      </c>
      <c r="O153" s="37">
        <v>603.2632160694684</v>
      </c>
      <c r="P153" s="37">
        <v>231.38140412803125</v>
      </c>
      <c r="Q153" s="37">
        <v>483.59733864281202</v>
      </c>
      <c r="R153" s="37">
        <v>297.14426320252755</v>
      </c>
      <c r="S153" s="37">
        <v>405.62287886872269</v>
      </c>
      <c r="T153" s="37">
        <v>286.57400344793405</v>
      </c>
      <c r="U153" s="37">
        <v>368.54066550231033</v>
      </c>
      <c r="V153" s="37">
        <v>287.28532652252613</v>
      </c>
      <c r="W153" s="37">
        <v>345.98122846600745</v>
      </c>
      <c r="X153" s="37">
        <v>299.48344415708073</v>
      </c>
      <c r="Y153" s="37">
        <v>258.60006318909245</v>
      </c>
      <c r="Z153" s="37">
        <v>368.53026795174515</v>
      </c>
      <c r="AA153" s="37">
        <v>382.43296651892888</v>
      </c>
    </row>
    <row r="154" spans="1:27" ht="75" customHeight="1" x14ac:dyDescent="0.2">
      <c r="A154" s="199" t="s">
        <v>532</v>
      </c>
      <c r="B154" s="166"/>
      <c r="C154" s="166"/>
      <c r="D154" s="166"/>
      <c r="E154" s="176"/>
      <c r="F154" s="38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</row>
    <row r="155" spans="1:27" ht="72.75" customHeight="1" x14ac:dyDescent="0.2">
      <c r="A155" s="199" t="s">
        <v>533</v>
      </c>
      <c r="B155" s="166" t="s">
        <v>32</v>
      </c>
      <c r="C155" s="166">
        <v>159.75</v>
      </c>
      <c r="D155" s="103">
        <v>202</v>
      </c>
      <c r="E155" s="179">
        <f t="shared" ref="E155:E160" si="18">D155*1.04</f>
        <v>210.08</v>
      </c>
      <c r="F155" s="38">
        <v>441.31032472784534</v>
      </c>
      <c r="G155" s="37">
        <v>274.57985567829746</v>
      </c>
      <c r="H155" s="37">
        <v>259.56214677776256</v>
      </c>
      <c r="I155" s="37">
        <v>219.80038837982653</v>
      </c>
      <c r="J155" s="37">
        <v>313.98832184691543</v>
      </c>
      <c r="K155" s="37">
        <v>271.99121847833658</v>
      </c>
      <c r="L155" s="37">
        <v>324.96749515506457</v>
      </c>
      <c r="M155" s="37">
        <v>232.13304976339248</v>
      </c>
      <c r="N155" s="37">
        <v>142.82858850839088</v>
      </c>
      <c r="O155" s="37">
        <v>301.68359022498282</v>
      </c>
      <c r="P155" s="37">
        <v>186.97537423584819</v>
      </c>
      <c r="Q155" s="37">
        <v>241.79866932140601</v>
      </c>
      <c r="R155" s="37">
        <v>148.57213160126378</v>
      </c>
      <c r="S155" s="37">
        <v>170.3813743282538</v>
      </c>
      <c r="T155" s="37">
        <v>143.28700172396702</v>
      </c>
      <c r="U155" s="37">
        <v>184.27033275115517</v>
      </c>
      <c r="V155" s="37">
        <v>143.64266326126307</v>
      </c>
      <c r="W155" s="37">
        <v>172.99061423300373</v>
      </c>
      <c r="X155" s="37">
        <v>149.74172207854036</v>
      </c>
      <c r="Y155" s="37">
        <v>129.30003159454623</v>
      </c>
      <c r="Z155" s="37">
        <v>184.26513397587257</v>
      </c>
      <c r="AA155" s="37">
        <v>200.468893739761</v>
      </c>
    </row>
    <row r="156" spans="1:27" ht="92.25" customHeight="1" x14ac:dyDescent="0.2">
      <c r="A156" s="199" t="s">
        <v>534</v>
      </c>
      <c r="B156" s="166" t="s">
        <v>32</v>
      </c>
      <c r="C156" s="166">
        <v>213</v>
      </c>
      <c r="D156" s="103">
        <v>269</v>
      </c>
      <c r="E156" s="179">
        <f t="shared" si="18"/>
        <v>279.76</v>
      </c>
      <c r="F156" s="38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</row>
    <row r="157" spans="1:27" ht="67.5" customHeight="1" x14ac:dyDescent="0.2">
      <c r="A157" s="199" t="s">
        <v>535</v>
      </c>
      <c r="B157" s="166" t="s">
        <v>32</v>
      </c>
      <c r="C157" s="166">
        <v>10.65</v>
      </c>
      <c r="D157" s="103">
        <v>14</v>
      </c>
      <c r="E157" s="179">
        <f t="shared" si="18"/>
        <v>14.56</v>
      </c>
      <c r="F157" s="38">
        <v>147.10344157594844</v>
      </c>
      <c r="G157" s="37">
        <v>95.425525476266159</v>
      </c>
      <c r="H157" s="37">
        <v>86.52071559258755</v>
      </c>
      <c r="I157" s="37">
        <v>95.830547200166336</v>
      </c>
      <c r="J157" s="37">
        <v>72.934410043571603</v>
      </c>
      <c r="K157" s="37">
        <v>90.663739492778859</v>
      </c>
      <c r="L157" s="37">
        <v>108.32249838502153</v>
      </c>
      <c r="M157" s="37">
        <v>77.377683254464174</v>
      </c>
      <c r="N157" s="37">
        <v>47.60952950279696</v>
      </c>
      <c r="O157" s="37">
        <v>119.92741177542413</v>
      </c>
      <c r="P157" s="37">
        <v>79.794141434501654</v>
      </c>
      <c r="Q157" s="37">
        <v>109.70707290415312</v>
      </c>
      <c r="R157" s="37">
        <v>49.524043867087926</v>
      </c>
      <c r="S157" s="37">
        <v>79.917652736448687</v>
      </c>
      <c r="T157" s="37">
        <v>47.762333907989003</v>
      </c>
      <c r="U157" s="37">
        <v>61.423444250385053</v>
      </c>
      <c r="V157" s="37">
        <v>47.880887753754351</v>
      </c>
      <c r="W157" s="37">
        <v>57.663538077667916</v>
      </c>
      <c r="X157" s="37">
        <v>55.36750447480788</v>
      </c>
      <c r="Y157" s="37">
        <v>43.100010531515409</v>
      </c>
      <c r="Z157" s="37">
        <v>61.42171132529085</v>
      </c>
      <c r="AA157" s="37">
        <v>63.738827753154808</v>
      </c>
    </row>
    <row r="158" spans="1:27" ht="51.75" customHeight="1" x14ac:dyDescent="0.2">
      <c r="A158" s="199" t="s">
        <v>536</v>
      </c>
      <c r="B158" s="166" t="s">
        <v>32</v>
      </c>
      <c r="C158" s="166">
        <v>159.75</v>
      </c>
      <c r="D158" s="103">
        <v>202</v>
      </c>
      <c r="E158" s="179">
        <f t="shared" si="18"/>
        <v>210.08</v>
      </c>
      <c r="F158" s="38">
        <v>588.41376630379375</v>
      </c>
      <c r="G158" s="37">
        <v>381.70210190506464</v>
      </c>
      <c r="H158" s="37">
        <v>346.0828623703502</v>
      </c>
      <c r="I158" s="37">
        <v>383.32218880066534</v>
      </c>
      <c r="J158" s="37">
        <v>418.65109579588716</v>
      </c>
      <c r="K158" s="37">
        <v>362.65495797111544</v>
      </c>
      <c r="L158" s="37">
        <v>433.28999354008613</v>
      </c>
      <c r="M158" s="37">
        <v>309.51073301785669</v>
      </c>
      <c r="N158" s="37">
        <v>190.43811801118784</v>
      </c>
      <c r="O158" s="37">
        <v>479.70964710169653</v>
      </c>
      <c r="P158" s="37">
        <v>319.17656573800662</v>
      </c>
      <c r="Q158" s="37">
        <v>438.82829161661249</v>
      </c>
      <c r="R158" s="37">
        <v>198.0961754683517</v>
      </c>
      <c r="S158" s="37">
        <v>319.67061094579475</v>
      </c>
      <c r="T158" s="37">
        <v>191.04933563195601</v>
      </c>
      <c r="U158" s="37">
        <v>245.69377700154021</v>
      </c>
      <c r="V158" s="37">
        <v>191.5235510150174</v>
      </c>
      <c r="W158" s="37">
        <v>230.65415231067166</v>
      </c>
      <c r="X158" s="37">
        <v>221.47001789923152</v>
      </c>
      <c r="Y158" s="37">
        <v>172.40004212606163</v>
      </c>
      <c r="Z158" s="37">
        <v>245.6868453011634</v>
      </c>
      <c r="AA158" s="37">
        <v>254.95531101261923</v>
      </c>
    </row>
    <row r="159" spans="1:27" ht="60" customHeight="1" x14ac:dyDescent="0.2">
      <c r="A159" s="204" t="s">
        <v>609</v>
      </c>
      <c r="B159" s="166" t="s">
        <v>32</v>
      </c>
      <c r="C159" s="166">
        <v>206.61</v>
      </c>
      <c r="D159" s="103">
        <v>261</v>
      </c>
      <c r="E159" s="179">
        <f t="shared" si="18"/>
        <v>271.44</v>
      </c>
      <c r="F159" s="38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</row>
    <row r="160" spans="1:27" ht="92.25" customHeight="1" x14ac:dyDescent="0.2">
      <c r="A160" s="199" t="s">
        <v>610</v>
      </c>
      <c r="B160" s="166" t="s">
        <v>32</v>
      </c>
      <c r="C160" s="166">
        <v>213</v>
      </c>
      <c r="D160" s="103">
        <v>269</v>
      </c>
      <c r="E160" s="179">
        <f t="shared" si="18"/>
        <v>279.76</v>
      </c>
      <c r="F160" s="38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</row>
    <row r="161" spans="1:27" ht="19.5" customHeight="1" x14ac:dyDescent="0.25">
      <c r="A161" s="259" t="s">
        <v>73</v>
      </c>
      <c r="B161" s="259"/>
      <c r="C161" s="259"/>
      <c r="D161" s="259"/>
      <c r="E161" s="259"/>
      <c r="F161" s="38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</row>
    <row r="162" spans="1:27" ht="31.5" customHeight="1" x14ac:dyDescent="0.2">
      <c r="A162" s="199" t="s">
        <v>411</v>
      </c>
      <c r="B162" s="166" t="s">
        <v>32</v>
      </c>
      <c r="C162" s="166">
        <v>159.75</v>
      </c>
      <c r="D162" s="103">
        <v>202</v>
      </c>
      <c r="E162" s="179">
        <f>D162*1.04</f>
        <v>210.08</v>
      </c>
      <c r="F162" s="38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</row>
    <row r="163" spans="1:27" ht="36" customHeight="1" x14ac:dyDescent="0.2">
      <c r="A163" s="65" t="s">
        <v>389</v>
      </c>
      <c r="B163" s="166" t="s">
        <v>32</v>
      </c>
      <c r="C163" s="166">
        <v>159.75</v>
      </c>
      <c r="D163" s="103">
        <v>202</v>
      </c>
      <c r="E163" s="179">
        <f>D163*1.04</f>
        <v>210.08</v>
      </c>
      <c r="F163" s="38">
        <v>772.64862251077091</v>
      </c>
      <c r="G163" s="37">
        <v>547.01636220940486</v>
      </c>
      <c r="H163" s="37">
        <v>493.67032811669958</v>
      </c>
      <c r="I163" s="37">
        <v>450.52247263878144</v>
      </c>
      <c r="J163" s="37">
        <v>377.07442766147676</v>
      </c>
      <c r="K163" s="37">
        <v>447.22446251756423</v>
      </c>
      <c r="L163" s="37">
        <v>677.19303001555409</v>
      </c>
      <c r="M163" s="37">
        <v>422.35544393619335</v>
      </c>
      <c r="N163" s="37">
        <v>262.79584612130697</v>
      </c>
      <c r="O163" s="37">
        <v>489.78343050831114</v>
      </c>
      <c r="P163" s="37">
        <v>373.95074847169639</v>
      </c>
      <c r="Q163" s="37">
        <v>475.32924215063576</v>
      </c>
      <c r="R163" s="37">
        <v>283.9206326370691</v>
      </c>
      <c r="S163" s="37">
        <v>479.5059164186921</v>
      </c>
      <c r="T163" s="37">
        <v>277.12557252477154</v>
      </c>
      <c r="U163" s="37">
        <v>311.47930435117763</v>
      </c>
      <c r="V163" s="37">
        <v>233.9187942156816</v>
      </c>
      <c r="W163" s="37">
        <v>360.96795864513535</v>
      </c>
      <c r="X163" s="37">
        <v>293.05148267662798</v>
      </c>
      <c r="Y163" s="37">
        <v>259.74285478271923</v>
      </c>
      <c r="Z163" s="37">
        <v>448.50486195624234</v>
      </c>
      <c r="AA163" s="37">
        <v>400.93784727568953</v>
      </c>
    </row>
    <row r="164" spans="1:27" ht="47.25" customHeight="1" x14ac:dyDescent="0.2">
      <c r="A164" s="65" t="s">
        <v>537</v>
      </c>
      <c r="B164" s="166" t="s">
        <v>32</v>
      </c>
      <c r="C164" s="166">
        <v>106.5</v>
      </c>
      <c r="D164" s="103">
        <v>135</v>
      </c>
      <c r="E164" s="179">
        <f>D164*1.04</f>
        <v>140.4</v>
      </c>
      <c r="F164" s="38">
        <v>772.64862251077091</v>
      </c>
      <c r="G164" s="37">
        <v>547.01636220940486</v>
      </c>
      <c r="H164" s="37">
        <v>493.67032811669958</v>
      </c>
      <c r="I164" s="37">
        <v>450.52247263878144</v>
      </c>
      <c r="J164" s="37">
        <v>377.07442766147676</v>
      </c>
      <c r="K164" s="37">
        <v>447.22446251756423</v>
      </c>
      <c r="L164" s="37">
        <v>677.19303001555409</v>
      </c>
      <c r="M164" s="37">
        <v>422.35544393619335</v>
      </c>
      <c r="N164" s="37">
        <v>262.79584612130697</v>
      </c>
      <c r="O164" s="37">
        <v>489.78343050831114</v>
      </c>
      <c r="P164" s="37">
        <v>373.95074847169639</v>
      </c>
      <c r="Q164" s="37">
        <v>475.32924215063576</v>
      </c>
      <c r="R164" s="37">
        <v>283.9206326370691</v>
      </c>
      <c r="S164" s="37">
        <v>479.5059164186921</v>
      </c>
      <c r="T164" s="37">
        <v>277.12557252477154</v>
      </c>
      <c r="U164" s="37">
        <v>311.47930435117763</v>
      </c>
      <c r="V164" s="37">
        <v>233.9187942156816</v>
      </c>
      <c r="W164" s="37">
        <v>360.96795864513535</v>
      </c>
      <c r="X164" s="37">
        <v>293.05148267662798</v>
      </c>
      <c r="Y164" s="37">
        <v>259.74285478271923</v>
      </c>
      <c r="Z164" s="37">
        <v>448.50486195624234</v>
      </c>
      <c r="AA164" s="37">
        <v>400.93784727568953</v>
      </c>
    </row>
    <row r="165" spans="1:27" ht="18.75" customHeight="1" x14ac:dyDescent="0.25">
      <c r="A165" s="259" t="s">
        <v>235</v>
      </c>
      <c r="B165" s="259"/>
      <c r="C165" s="259"/>
      <c r="D165" s="259"/>
      <c r="E165" s="259"/>
      <c r="F165" s="38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</row>
    <row r="166" spans="1:27" ht="55.5" customHeight="1" x14ac:dyDescent="0.2">
      <c r="A166" s="65" t="s">
        <v>538</v>
      </c>
      <c r="B166" s="166" t="s">
        <v>32</v>
      </c>
      <c r="C166" s="166">
        <v>106.5</v>
      </c>
      <c r="D166" s="103">
        <v>135</v>
      </c>
      <c r="E166" s="179">
        <f>D166*1.04</f>
        <v>140.4</v>
      </c>
      <c r="F166" s="38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</row>
    <row r="167" spans="1:27" ht="72.75" customHeight="1" x14ac:dyDescent="0.2">
      <c r="A167" s="65" t="s">
        <v>539</v>
      </c>
      <c r="B167" s="166" t="s">
        <v>32</v>
      </c>
      <c r="C167" s="166">
        <v>106.5</v>
      </c>
      <c r="D167" s="103">
        <v>135</v>
      </c>
      <c r="E167" s="179">
        <f>D167*1.04</f>
        <v>140.4</v>
      </c>
      <c r="F167" s="38">
        <v>431.02806619834257</v>
      </c>
      <c r="G167" s="37">
        <v>303.28766032923915</v>
      </c>
      <c r="H167" s="37">
        <v>302.82250457405644</v>
      </c>
      <c r="I167" s="37">
        <v>256.433786443131</v>
      </c>
      <c r="J167" s="37">
        <v>233.35639366544677</v>
      </c>
      <c r="K167" s="37">
        <v>260.88093646857908</v>
      </c>
      <c r="L167" s="37">
        <v>286.58441490892591</v>
      </c>
      <c r="M167" s="37">
        <v>270.82189139062461</v>
      </c>
      <c r="N167" s="37">
        <v>153.29757690409571</v>
      </c>
      <c r="O167" s="37">
        <v>316.86263637446268</v>
      </c>
      <c r="P167" s="37">
        <v>218.13793660848955</v>
      </c>
      <c r="Q167" s="37">
        <v>275.60072466620989</v>
      </c>
      <c r="R167" s="37">
        <v>165.39013546948138</v>
      </c>
      <c r="S167" s="37">
        <v>231.805895353045</v>
      </c>
      <c r="T167" s="37">
        <v>167.16816867796155</v>
      </c>
      <c r="U167" s="37">
        <v>214.98205487634766</v>
      </c>
      <c r="V167" s="37">
        <v>136.46782125895439</v>
      </c>
      <c r="W167" s="37">
        <v>160.55553993903419</v>
      </c>
      <c r="X167" s="37">
        <v>174.6986757582971</v>
      </c>
      <c r="Y167" s="37">
        <v>151.51654007636481</v>
      </c>
      <c r="Z167" s="37">
        <v>214.97598963851797</v>
      </c>
      <c r="AA167" s="37">
        <v>233.88037602972116</v>
      </c>
    </row>
    <row r="168" spans="1:27" ht="21" customHeight="1" x14ac:dyDescent="0.25">
      <c r="A168" s="259" t="s">
        <v>75</v>
      </c>
      <c r="B168" s="259"/>
      <c r="C168" s="259"/>
      <c r="D168" s="259"/>
      <c r="E168" s="259"/>
      <c r="F168" s="38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</row>
    <row r="169" spans="1:27" ht="65.25" customHeight="1" x14ac:dyDescent="0.2">
      <c r="A169" s="199" t="s">
        <v>540</v>
      </c>
      <c r="B169" s="166" t="s">
        <v>32</v>
      </c>
      <c r="C169" s="166">
        <v>106.5</v>
      </c>
      <c r="D169" s="103">
        <v>135</v>
      </c>
      <c r="E169" s="179">
        <f>D169*1.04</f>
        <v>140.4</v>
      </c>
      <c r="F169" s="38">
        <v>1108.8282766813272</v>
      </c>
      <c r="G169" s="37">
        <v>549.15971135659493</v>
      </c>
      <c r="H169" s="37">
        <v>493.67032811669958</v>
      </c>
      <c r="I169" s="37">
        <v>439.60077675965306</v>
      </c>
      <c r="J169" s="37">
        <v>545.75660191347879</v>
      </c>
      <c r="K169" s="37">
        <v>447.22446251756423</v>
      </c>
      <c r="L169" s="37">
        <v>507.3524432923449</v>
      </c>
      <c r="M169" s="37">
        <v>464.26609952678496</v>
      </c>
      <c r="N169" s="37">
        <v>238.30826460125652</v>
      </c>
      <c r="O169" s="37">
        <v>603.36718044996564</v>
      </c>
      <c r="P169" s="37">
        <v>373.95074847169639</v>
      </c>
      <c r="Q169" s="37">
        <v>483.59733864281202</v>
      </c>
      <c r="R169" s="37">
        <v>347.84162975211461</v>
      </c>
      <c r="S169" s="37">
        <v>409.79744494099322</v>
      </c>
      <c r="T169" s="37">
        <v>277.1255725247716</v>
      </c>
      <c r="U169" s="37">
        <v>368.54066550231033</v>
      </c>
      <c r="V169" s="37">
        <v>287.28532652252613</v>
      </c>
      <c r="W169" s="37">
        <v>397.41197030817119</v>
      </c>
      <c r="X169" s="37">
        <v>403.47546278202452</v>
      </c>
      <c r="Y169" s="37">
        <v>258.60006318909245</v>
      </c>
      <c r="Z169" s="37">
        <v>448.52046310212131</v>
      </c>
      <c r="AA169" s="37">
        <v>400.93784727568953</v>
      </c>
    </row>
    <row r="170" spans="1:27" ht="35.25" customHeight="1" x14ac:dyDescent="0.2">
      <c r="A170" s="199" t="s">
        <v>413</v>
      </c>
      <c r="B170" s="166" t="s">
        <v>32</v>
      </c>
      <c r="C170" s="166">
        <v>106.5</v>
      </c>
      <c r="D170" s="103">
        <v>135</v>
      </c>
      <c r="E170" s="179">
        <f>D170*1.04</f>
        <v>140.4</v>
      </c>
      <c r="F170" s="38">
        <v>1108.8282766813272</v>
      </c>
      <c r="G170" s="37">
        <v>549.15971135659493</v>
      </c>
      <c r="H170" s="37">
        <v>493.67032811669958</v>
      </c>
      <c r="I170" s="37">
        <v>439.60077675965306</v>
      </c>
      <c r="J170" s="37">
        <v>545.75660191347879</v>
      </c>
      <c r="K170" s="37">
        <v>447.22446251756423</v>
      </c>
      <c r="L170" s="37">
        <v>507.3524432923449</v>
      </c>
      <c r="M170" s="37">
        <v>439.2496616936412</v>
      </c>
      <c r="N170" s="37">
        <v>238.30826460125652</v>
      </c>
      <c r="O170" s="37">
        <v>603.36718044996564</v>
      </c>
      <c r="P170" s="37">
        <v>473.69404713540393</v>
      </c>
      <c r="Q170" s="37">
        <v>483.59733864281202</v>
      </c>
      <c r="R170" s="37">
        <v>347.84162975211461</v>
      </c>
      <c r="S170" s="37">
        <v>340.7627486565076</v>
      </c>
      <c r="T170" s="37">
        <v>277.1255725247716</v>
      </c>
      <c r="U170" s="37">
        <v>368.54066550231033</v>
      </c>
      <c r="V170" s="37">
        <v>287.28532652252613</v>
      </c>
      <c r="W170" s="37">
        <v>397.41197030817119</v>
      </c>
      <c r="X170" s="37">
        <v>403.47546278202452</v>
      </c>
      <c r="Y170" s="37">
        <v>258.60006318909245</v>
      </c>
      <c r="Z170" s="37">
        <v>448.52046310212131</v>
      </c>
      <c r="AA170" s="37">
        <v>400.93784727568953</v>
      </c>
    </row>
    <row r="171" spans="1:27" ht="35.25" customHeight="1" x14ac:dyDescent="0.2">
      <c r="A171" s="297" t="s">
        <v>541</v>
      </c>
      <c r="B171" s="297"/>
      <c r="C171" s="297"/>
      <c r="D171" s="297"/>
      <c r="E171" s="297"/>
      <c r="F171" s="39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8"/>
      <c r="S171" s="58"/>
      <c r="T171" s="58"/>
      <c r="U171" s="58"/>
      <c r="V171" s="58"/>
      <c r="W171" s="58"/>
      <c r="X171" s="58"/>
      <c r="Y171" s="58"/>
      <c r="Z171" s="58"/>
      <c r="AA171" s="58"/>
    </row>
    <row r="172" spans="1:27" ht="35.25" customHeight="1" x14ac:dyDescent="0.2">
      <c r="A172" s="199" t="s">
        <v>542</v>
      </c>
      <c r="B172" s="166" t="s">
        <v>32</v>
      </c>
      <c r="C172" s="166"/>
      <c r="D172" s="103">
        <f>117*1.15</f>
        <v>134.54999999999998</v>
      </c>
      <c r="E172" s="179">
        <f>D172*1.04</f>
        <v>139.93199999999999</v>
      </c>
      <c r="F172" s="39"/>
      <c r="G172" s="58"/>
      <c r="H172" s="58"/>
      <c r="I172" s="58"/>
      <c r="J172" s="58"/>
      <c r="K172" s="58"/>
      <c r="L172" s="58"/>
      <c r="M172" s="58"/>
      <c r="N172" s="58"/>
      <c r="O172" s="58"/>
      <c r="P172" s="58"/>
      <c r="Q172" s="58"/>
      <c r="R172" s="58"/>
      <c r="S172" s="58"/>
      <c r="T172" s="58"/>
      <c r="U172" s="58"/>
      <c r="V172" s="58"/>
      <c r="W172" s="58"/>
      <c r="X172" s="58"/>
      <c r="Y172" s="58"/>
      <c r="Z172" s="58"/>
      <c r="AA172" s="58"/>
    </row>
    <row r="173" spans="1:27" ht="83.25" customHeight="1" x14ac:dyDescent="0.2">
      <c r="A173" s="199" t="s">
        <v>543</v>
      </c>
      <c r="B173" s="166" t="s">
        <v>32</v>
      </c>
      <c r="C173" s="166"/>
      <c r="D173" s="103">
        <f>117*1.15</f>
        <v>134.54999999999998</v>
      </c>
      <c r="E173" s="179">
        <f>D173*1.04</f>
        <v>139.93199999999999</v>
      </c>
      <c r="F173" s="39"/>
      <c r="G173" s="58"/>
      <c r="H173" s="58"/>
      <c r="I173" s="58"/>
      <c r="J173" s="58"/>
      <c r="K173" s="58"/>
      <c r="L173" s="58"/>
      <c r="M173" s="58"/>
      <c r="N173" s="58"/>
      <c r="O173" s="58"/>
      <c r="P173" s="58"/>
      <c r="Q173" s="58"/>
      <c r="R173" s="58"/>
      <c r="S173" s="58"/>
      <c r="T173" s="58"/>
      <c r="U173" s="58"/>
      <c r="V173" s="58"/>
      <c r="W173" s="58"/>
      <c r="X173" s="58"/>
      <c r="Y173" s="58"/>
      <c r="Z173" s="58"/>
      <c r="AA173" s="58"/>
    </row>
    <row r="174" spans="1:27" ht="21" customHeight="1" x14ac:dyDescent="0.25">
      <c r="A174" s="259" t="s">
        <v>611</v>
      </c>
      <c r="B174" s="259"/>
      <c r="C174" s="259"/>
      <c r="D174" s="259"/>
      <c r="E174" s="259"/>
      <c r="F174" s="38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</row>
    <row r="175" spans="1:27" ht="65.25" customHeight="1" x14ac:dyDescent="0.2">
      <c r="A175" s="199" t="s">
        <v>612</v>
      </c>
      <c r="B175" s="166" t="s">
        <v>644</v>
      </c>
      <c r="C175" s="166">
        <v>106.5</v>
      </c>
      <c r="D175" s="103">
        <v>202</v>
      </c>
      <c r="E175" s="179">
        <f>D175*1.04</f>
        <v>210.08</v>
      </c>
      <c r="F175" s="38">
        <v>1108.8282766813272</v>
      </c>
      <c r="G175" s="37">
        <v>549.15971135659493</v>
      </c>
      <c r="H175" s="37">
        <v>493.67032811669958</v>
      </c>
      <c r="I175" s="37">
        <v>439.60077675965306</v>
      </c>
      <c r="J175" s="37">
        <v>545.75660191347879</v>
      </c>
      <c r="K175" s="37">
        <v>447.22446251756423</v>
      </c>
      <c r="L175" s="37">
        <v>507.3524432923449</v>
      </c>
      <c r="M175" s="37">
        <v>464.26609952678496</v>
      </c>
      <c r="N175" s="37">
        <v>238.30826460125652</v>
      </c>
      <c r="O175" s="37">
        <v>603.36718044996564</v>
      </c>
      <c r="P175" s="37">
        <v>373.95074847169639</v>
      </c>
      <c r="Q175" s="37">
        <v>483.59733864281202</v>
      </c>
      <c r="R175" s="37">
        <v>347.84162975211461</v>
      </c>
      <c r="S175" s="37">
        <v>409.79744494099322</v>
      </c>
      <c r="T175" s="37">
        <v>277.1255725247716</v>
      </c>
      <c r="U175" s="37">
        <v>368.54066550231033</v>
      </c>
      <c r="V175" s="37">
        <v>287.28532652252613</v>
      </c>
      <c r="W175" s="37">
        <v>397.41197030817119</v>
      </c>
      <c r="X175" s="37">
        <v>403.47546278202452</v>
      </c>
      <c r="Y175" s="37">
        <v>258.60006318909245</v>
      </c>
      <c r="Z175" s="37">
        <v>448.52046310212131</v>
      </c>
      <c r="AA175" s="37">
        <v>400.93784727568953</v>
      </c>
    </row>
    <row r="176" spans="1:27" ht="54.75" customHeight="1" x14ac:dyDescent="0.2">
      <c r="A176" s="199" t="s">
        <v>613</v>
      </c>
      <c r="B176" s="166" t="s">
        <v>644</v>
      </c>
      <c r="C176" s="166">
        <v>106.5</v>
      </c>
      <c r="D176" s="103">
        <v>202</v>
      </c>
      <c r="E176" s="179">
        <f>D176*1.04</f>
        <v>210.08</v>
      </c>
      <c r="F176" s="38">
        <v>1108.8282766813272</v>
      </c>
      <c r="G176" s="37">
        <v>549.15971135659493</v>
      </c>
      <c r="H176" s="37">
        <v>493.67032811669958</v>
      </c>
      <c r="I176" s="37">
        <v>439.60077675965306</v>
      </c>
      <c r="J176" s="37">
        <v>545.75660191347879</v>
      </c>
      <c r="K176" s="37">
        <v>447.22446251756423</v>
      </c>
      <c r="L176" s="37">
        <v>507.3524432923449</v>
      </c>
      <c r="M176" s="37">
        <v>439.2496616936412</v>
      </c>
      <c r="N176" s="37">
        <v>238.30826460125652</v>
      </c>
      <c r="O176" s="37">
        <v>603.36718044996564</v>
      </c>
      <c r="P176" s="37">
        <v>473.69404713540393</v>
      </c>
      <c r="Q176" s="37">
        <v>483.59733864281202</v>
      </c>
      <c r="R176" s="37">
        <v>347.84162975211461</v>
      </c>
      <c r="S176" s="37">
        <v>340.7627486565076</v>
      </c>
      <c r="T176" s="37">
        <v>277.1255725247716</v>
      </c>
      <c r="U176" s="37">
        <v>368.54066550231033</v>
      </c>
      <c r="V176" s="37">
        <v>287.28532652252613</v>
      </c>
      <c r="W176" s="37">
        <v>397.41197030817119</v>
      </c>
      <c r="X176" s="37">
        <v>403.47546278202452</v>
      </c>
      <c r="Y176" s="37">
        <v>258.60006318909245</v>
      </c>
      <c r="Z176" s="37">
        <v>448.52046310212131</v>
      </c>
      <c r="AA176" s="37">
        <v>400.93784727568953</v>
      </c>
    </row>
    <row r="177" spans="1:27" ht="75" customHeight="1" x14ac:dyDescent="0.2">
      <c r="A177" s="199" t="s">
        <v>614</v>
      </c>
      <c r="B177" s="166" t="s">
        <v>644</v>
      </c>
      <c r="C177" s="166"/>
      <c r="D177" s="103">
        <v>202</v>
      </c>
      <c r="E177" s="179">
        <f>D177*1.04</f>
        <v>210.08</v>
      </c>
      <c r="F177" s="39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  <c r="X177" s="58"/>
      <c r="Y177" s="58"/>
      <c r="Z177" s="58"/>
      <c r="AA177" s="58"/>
    </row>
    <row r="178" spans="1:27" ht="112.5" customHeight="1" x14ac:dyDescent="0.25">
      <c r="A178" s="259" t="s">
        <v>767</v>
      </c>
      <c r="B178" s="259"/>
      <c r="C178" s="259"/>
      <c r="D178" s="259"/>
      <c r="E178" s="259"/>
      <c r="F178" s="39"/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  <c r="X178" s="58"/>
      <c r="Y178" s="58"/>
      <c r="Z178" s="58"/>
      <c r="AA178" s="58"/>
    </row>
    <row r="179" spans="1:27" s="60" customFormat="1" ht="42.75" customHeight="1" x14ac:dyDescent="0.25">
      <c r="A179" s="263" t="s">
        <v>78</v>
      </c>
      <c r="B179" s="263"/>
      <c r="C179" s="263"/>
      <c r="D179" s="263"/>
      <c r="E179" s="263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</row>
    <row r="180" spans="1:27" s="60" customFormat="1" ht="105" customHeight="1" x14ac:dyDescent="0.25">
      <c r="A180" s="205" t="s">
        <v>491</v>
      </c>
      <c r="B180" s="163" t="s">
        <v>719</v>
      </c>
      <c r="C180" s="166">
        <v>33</v>
      </c>
      <c r="D180" s="103">
        <v>695</v>
      </c>
      <c r="E180" s="176">
        <f>D180*1.04</f>
        <v>722.80000000000007</v>
      </c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</row>
    <row r="181" spans="1:27" s="155" customFormat="1" ht="19.5" hidden="1" customHeight="1" x14ac:dyDescent="0.25">
      <c r="A181" s="206" t="s">
        <v>754</v>
      </c>
      <c r="B181" s="153"/>
      <c r="C181" s="148"/>
      <c r="D181" s="173">
        <f>36*1.15*4.5</f>
        <v>186.29999999999998</v>
      </c>
      <c r="E181" s="188"/>
      <c r="F181" s="154"/>
      <c r="G181" s="154"/>
      <c r="H181" s="154"/>
      <c r="I181" s="154"/>
      <c r="J181" s="154"/>
      <c r="K181" s="154"/>
      <c r="L181" s="154"/>
      <c r="M181" s="154"/>
      <c r="N181" s="154"/>
      <c r="O181" s="154"/>
      <c r="P181" s="154"/>
      <c r="Q181" s="154"/>
      <c r="R181" s="154"/>
      <c r="S181" s="154"/>
      <c r="T181" s="154"/>
      <c r="U181" s="154"/>
      <c r="V181" s="154"/>
      <c r="W181" s="154"/>
      <c r="X181" s="154"/>
      <c r="Y181" s="154"/>
      <c r="Z181" s="154"/>
      <c r="AA181" s="154"/>
    </row>
    <row r="182" spans="1:27" s="155" customFormat="1" ht="19.5" hidden="1" customHeight="1" x14ac:dyDescent="0.25">
      <c r="A182" s="206" t="s">
        <v>748</v>
      </c>
      <c r="B182" s="153"/>
      <c r="C182" s="148"/>
      <c r="D182" s="173">
        <f>216*1.15</f>
        <v>248.39999999999998</v>
      </c>
      <c r="E182" s="188"/>
      <c r="F182" s="154"/>
      <c r="G182" s="154"/>
      <c r="H182" s="154"/>
      <c r="I182" s="154"/>
      <c r="J182" s="154"/>
      <c r="K182" s="154"/>
      <c r="L182" s="154"/>
      <c r="M182" s="154"/>
      <c r="N182" s="154"/>
      <c r="O182" s="154"/>
      <c r="P182" s="154"/>
      <c r="Q182" s="154"/>
      <c r="R182" s="154"/>
      <c r="S182" s="154"/>
      <c r="T182" s="154"/>
      <c r="U182" s="154"/>
      <c r="V182" s="154"/>
      <c r="W182" s="154"/>
      <c r="X182" s="154"/>
      <c r="Y182" s="154"/>
      <c r="Z182" s="154"/>
      <c r="AA182" s="154"/>
    </row>
    <row r="183" spans="1:27" s="155" customFormat="1" ht="19.5" hidden="1" customHeight="1" x14ac:dyDescent="0.25">
      <c r="A183" s="206" t="s">
        <v>749</v>
      </c>
      <c r="B183" s="153"/>
      <c r="C183" s="148"/>
      <c r="D183" s="173">
        <f>49*1.15</f>
        <v>56.349999999999994</v>
      </c>
      <c r="E183" s="188"/>
      <c r="F183" s="154"/>
      <c r="G183" s="154"/>
      <c r="H183" s="154"/>
      <c r="I183" s="154"/>
      <c r="J183" s="154"/>
      <c r="K183" s="154"/>
      <c r="L183" s="154"/>
      <c r="M183" s="154"/>
      <c r="N183" s="154"/>
      <c r="O183" s="154"/>
      <c r="P183" s="154"/>
      <c r="Q183" s="154"/>
      <c r="R183" s="154"/>
      <c r="S183" s="154"/>
      <c r="T183" s="154"/>
      <c r="U183" s="154"/>
      <c r="V183" s="154"/>
      <c r="W183" s="154"/>
      <c r="X183" s="154"/>
      <c r="Y183" s="154"/>
      <c r="Z183" s="154"/>
      <c r="AA183" s="154"/>
    </row>
    <row r="184" spans="1:27" s="155" customFormat="1" ht="19.5" hidden="1" customHeight="1" x14ac:dyDescent="0.25">
      <c r="A184" s="206" t="s">
        <v>750</v>
      </c>
      <c r="B184" s="153"/>
      <c r="C184" s="148"/>
      <c r="D184" s="173">
        <f>15*1.15</f>
        <v>17.25</v>
      </c>
      <c r="E184" s="188"/>
      <c r="F184" s="154"/>
      <c r="G184" s="154"/>
      <c r="H184" s="154"/>
      <c r="I184" s="154"/>
      <c r="J184" s="154"/>
      <c r="K184" s="154"/>
      <c r="L184" s="154"/>
      <c r="M184" s="154"/>
      <c r="N184" s="154"/>
      <c r="O184" s="154"/>
      <c r="P184" s="154"/>
      <c r="Q184" s="154"/>
      <c r="R184" s="154"/>
      <c r="S184" s="154"/>
      <c r="T184" s="154"/>
      <c r="U184" s="154"/>
      <c r="V184" s="154"/>
      <c r="W184" s="154"/>
      <c r="X184" s="154"/>
      <c r="Y184" s="154"/>
      <c r="Z184" s="154"/>
      <c r="AA184" s="154"/>
    </row>
    <row r="185" spans="1:27" s="155" customFormat="1" ht="19.5" hidden="1" customHeight="1" x14ac:dyDescent="0.25">
      <c r="A185" s="206" t="s">
        <v>751</v>
      </c>
      <c r="B185" s="153"/>
      <c r="C185" s="148"/>
      <c r="D185" s="173">
        <f>51*1.15</f>
        <v>58.65</v>
      </c>
      <c r="E185" s="188"/>
      <c r="F185" s="154"/>
      <c r="G185" s="154"/>
      <c r="H185" s="154"/>
      <c r="I185" s="154"/>
      <c r="J185" s="154"/>
      <c r="K185" s="154"/>
      <c r="L185" s="154"/>
      <c r="M185" s="154"/>
      <c r="N185" s="154"/>
      <c r="O185" s="154"/>
      <c r="P185" s="154"/>
      <c r="Q185" s="154"/>
      <c r="R185" s="154"/>
      <c r="S185" s="154"/>
      <c r="T185" s="154"/>
      <c r="U185" s="154"/>
      <c r="V185" s="154"/>
      <c r="W185" s="154"/>
      <c r="X185" s="154"/>
      <c r="Y185" s="154"/>
      <c r="Z185" s="154"/>
      <c r="AA185" s="154"/>
    </row>
    <row r="186" spans="1:27" s="155" customFormat="1" ht="19.5" hidden="1" customHeight="1" x14ac:dyDescent="0.25">
      <c r="A186" s="206" t="s">
        <v>752</v>
      </c>
      <c r="B186" s="153"/>
      <c r="C186" s="148"/>
      <c r="D186" s="173">
        <f>46*1.15</f>
        <v>52.9</v>
      </c>
      <c r="E186" s="188"/>
      <c r="F186" s="154"/>
      <c r="G186" s="154"/>
      <c r="H186" s="154"/>
      <c r="I186" s="154"/>
      <c r="J186" s="154"/>
      <c r="K186" s="154"/>
      <c r="L186" s="154"/>
      <c r="M186" s="154"/>
      <c r="N186" s="154"/>
      <c r="O186" s="154"/>
      <c r="P186" s="154"/>
      <c r="Q186" s="154"/>
      <c r="R186" s="154"/>
      <c r="S186" s="154"/>
      <c r="T186" s="154"/>
      <c r="U186" s="154"/>
      <c r="V186" s="154"/>
      <c r="W186" s="154"/>
      <c r="X186" s="154"/>
      <c r="Y186" s="154"/>
      <c r="Z186" s="154"/>
      <c r="AA186" s="154"/>
    </row>
    <row r="187" spans="1:27" s="155" customFormat="1" ht="19.5" hidden="1" customHeight="1" x14ac:dyDescent="0.25">
      <c r="A187" s="206" t="s">
        <v>746</v>
      </c>
      <c r="B187" s="153"/>
      <c r="C187" s="148"/>
      <c r="D187" s="173">
        <f>28*1.15</f>
        <v>32.199999999999996</v>
      </c>
      <c r="E187" s="188"/>
      <c r="F187" s="154"/>
      <c r="G187" s="154"/>
      <c r="H187" s="154"/>
      <c r="I187" s="154"/>
      <c r="J187" s="154"/>
      <c r="K187" s="154"/>
      <c r="L187" s="154"/>
      <c r="M187" s="154"/>
      <c r="N187" s="154"/>
      <c r="O187" s="154"/>
      <c r="P187" s="154"/>
      <c r="Q187" s="154"/>
      <c r="R187" s="154"/>
      <c r="S187" s="154"/>
      <c r="T187" s="154"/>
      <c r="U187" s="154"/>
      <c r="V187" s="154"/>
      <c r="W187" s="154"/>
      <c r="X187" s="154"/>
      <c r="Y187" s="154"/>
      <c r="Z187" s="154"/>
      <c r="AA187" s="154"/>
    </row>
    <row r="188" spans="1:27" s="155" customFormat="1" ht="19.5" hidden="1" customHeight="1" x14ac:dyDescent="0.25">
      <c r="A188" s="206" t="s">
        <v>753</v>
      </c>
      <c r="B188" s="153"/>
      <c r="C188" s="148"/>
      <c r="D188" s="173">
        <f>37*1.15</f>
        <v>42.55</v>
      </c>
      <c r="E188" s="188"/>
      <c r="F188" s="154"/>
      <c r="G188" s="154"/>
      <c r="H188" s="154"/>
      <c r="I188" s="154"/>
      <c r="J188" s="154"/>
      <c r="K188" s="154"/>
      <c r="L188" s="154"/>
      <c r="M188" s="154"/>
      <c r="N188" s="154"/>
      <c r="O188" s="154"/>
      <c r="P188" s="154"/>
      <c r="Q188" s="154"/>
      <c r="R188" s="154"/>
      <c r="S188" s="154"/>
      <c r="T188" s="154"/>
      <c r="U188" s="154"/>
      <c r="V188" s="154"/>
      <c r="W188" s="154"/>
      <c r="X188" s="154"/>
      <c r="Y188" s="154"/>
      <c r="Z188" s="154"/>
      <c r="AA188" s="154"/>
    </row>
    <row r="189" spans="1:27" s="60" customFormat="1" ht="19.5" hidden="1" customHeight="1" x14ac:dyDescent="0.25">
      <c r="A189" s="205"/>
      <c r="B189" s="163"/>
      <c r="C189" s="166"/>
      <c r="D189" s="103"/>
      <c r="E189" s="176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</row>
    <row r="190" spans="1:27" s="60" customFormat="1" ht="19.5" hidden="1" customHeight="1" x14ac:dyDescent="0.25">
      <c r="A190" s="205"/>
      <c r="B190" s="163"/>
      <c r="C190" s="166"/>
      <c r="D190" s="103"/>
      <c r="E190" s="176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</row>
    <row r="191" spans="1:27" s="60" customFormat="1" ht="19.5" hidden="1" customHeight="1" x14ac:dyDescent="0.25">
      <c r="A191" s="205"/>
      <c r="B191" s="163"/>
      <c r="C191" s="166"/>
      <c r="D191" s="103"/>
      <c r="E191" s="176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</row>
    <row r="192" spans="1:27" s="60" customFormat="1" ht="19.5" hidden="1" customHeight="1" x14ac:dyDescent="0.25">
      <c r="A192" s="205"/>
      <c r="B192" s="163"/>
      <c r="C192" s="166"/>
      <c r="D192" s="103"/>
      <c r="E192" s="176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</row>
    <row r="193" spans="1:27" s="60" customFormat="1" ht="19.5" hidden="1" customHeight="1" x14ac:dyDescent="0.25">
      <c r="A193" s="205"/>
      <c r="B193" s="163"/>
      <c r="C193" s="166"/>
      <c r="D193" s="103"/>
      <c r="E193" s="176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</row>
    <row r="194" spans="1:27" s="60" customFormat="1" ht="19.5" hidden="1" customHeight="1" x14ac:dyDescent="0.25">
      <c r="A194" s="205"/>
      <c r="B194" s="163"/>
      <c r="C194" s="166"/>
      <c r="D194" s="103"/>
      <c r="E194" s="176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</row>
    <row r="195" spans="1:27" s="60" customFormat="1" ht="19.5" hidden="1" customHeight="1" x14ac:dyDescent="0.25">
      <c r="A195" s="205"/>
      <c r="B195" s="163"/>
      <c r="C195" s="166"/>
      <c r="D195" s="103"/>
      <c r="E195" s="176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</row>
    <row r="196" spans="1:27" s="60" customFormat="1" ht="19.5" hidden="1" customHeight="1" x14ac:dyDescent="0.25">
      <c r="A196" s="205"/>
      <c r="B196" s="163"/>
      <c r="C196" s="166"/>
      <c r="D196" s="103"/>
      <c r="E196" s="176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</row>
    <row r="197" spans="1:27" s="60" customFormat="1" ht="19.5" hidden="1" customHeight="1" x14ac:dyDescent="0.25">
      <c r="A197" s="205"/>
      <c r="B197" s="163"/>
      <c r="C197" s="166"/>
      <c r="D197" s="103"/>
      <c r="E197" s="176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</row>
    <row r="198" spans="1:27" s="60" customFormat="1" ht="19.5" hidden="1" customHeight="1" x14ac:dyDescent="0.25">
      <c r="A198" s="205"/>
      <c r="B198" s="163"/>
      <c r="C198" s="166"/>
      <c r="D198" s="103"/>
      <c r="E198" s="176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</row>
    <row r="199" spans="1:27" s="60" customFormat="1" ht="19.5" hidden="1" customHeight="1" x14ac:dyDescent="0.25">
      <c r="A199" s="205"/>
      <c r="B199" s="163"/>
      <c r="C199" s="166"/>
      <c r="D199" s="103"/>
      <c r="E199" s="176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</row>
    <row r="200" spans="1:27" s="60" customFormat="1" ht="19.5" hidden="1" customHeight="1" x14ac:dyDescent="0.25">
      <c r="A200" s="205"/>
      <c r="B200" s="163"/>
      <c r="C200" s="166"/>
      <c r="D200" s="103"/>
      <c r="E200" s="176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</row>
    <row r="201" spans="1:27" s="60" customFormat="1" ht="19.5" hidden="1" customHeight="1" x14ac:dyDescent="0.25">
      <c r="A201" s="205"/>
      <c r="B201" s="163"/>
      <c r="C201" s="166"/>
      <c r="D201" s="103"/>
      <c r="E201" s="176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</row>
    <row r="202" spans="1:27" s="60" customFormat="1" ht="39.75" hidden="1" customHeight="1" x14ac:dyDescent="0.25">
      <c r="A202" s="205"/>
      <c r="B202" s="163"/>
      <c r="C202" s="166"/>
      <c r="D202" s="103">
        <f>(D204+D215+D209+D211+D212)*1.15</f>
        <v>433.54999999999995</v>
      </c>
      <c r="E202" s="176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</row>
    <row r="203" spans="1:27" s="60" customFormat="1" ht="34.5" customHeight="1" x14ac:dyDescent="0.25">
      <c r="A203" s="205" t="s">
        <v>645</v>
      </c>
      <c r="B203" s="163"/>
      <c r="C203" s="166"/>
      <c r="D203" s="166"/>
      <c r="E203" s="176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</row>
    <row r="204" spans="1:27" s="60" customFormat="1" ht="24" hidden="1" customHeight="1" x14ac:dyDescent="0.25">
      <c r="A204" s="205" t="s">
        <v>323</v>
      </c>
      <c r="B204" s="163" t="s">
        <v>116</v>
      </c>
      <c r="C204" s="166">
        <v>196.08184523809524</v>
      </c>
      <c r="D204" s="103">
        <f t="shared" ref="D204:D219" si="19">ROUND(C204*1.1,0)</f>
        <v>216</v>
      </c>
      <c r="E204" s="176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</row>
    <row r="205" spans="1:27" s="60" customFormat="1" ht="24" hidden="1" customHeight="1" x14ac:dyDescent="0.25">
      <c r="A205" s="205" t="s">
        <v>324</v>
      </c>
      <c r="B205" s="163" t="s">
        <v>116</v>
      </c>
      <c r="C205" s="166">
        <v>72.51130952380953</v>
      </c>
      <c r="D205" s="103">
        <f t="shared" si="19"/>
        <v>80</v>
      </c>
      <c r="E205" s="176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</row>
    <row r="206" spans="1:27" s="60" customFormat="1" ht="24" customHeight="1" x14ac:dyDescent="0.25">
      <c r="A206" s="205" t="s">
        <v>325</v>
      </c>
      <c r="B206" s="163" t="s">
        <v>116</v>
      </c>
      <c r="C206" s="166">
        <v>8.52</v>
      </c>
      <c r="D206" s="103">
        <v>10</v>
      </c>
      <c r="E206" s="176">
        <f>D206*1.04</f>
        <v>10.4</v>
      </c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</row>
    <row r="207" spans="1:27" s="60" customFormat="1" ht="24" customHeight="1" x14ac:dyDescent="0.25">
      <c r="A207" s="205" t="s">
        <v>326</v>
      </c>
      <c r="B207" s="163" t="s">
        <v>116</v>
      </c>
      <c r="C207" s="166">
        <v>15.98</v>
      </c>
      <c r="D207" s="103">
        <v>21</v>
      </c>
      <c r="E207" s="176">
        <f t="shared" ref="E207:E218" si="20">D207*1.04</f>
        <v>21.84</v>
      </c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</row>
    <row r="208" spans="1:27" s="60" customFormat="1" ht="24" hidden="1" customHeight="1" x14ac:dyDescent="0.25">
      <c r="A208" s="205" t="s">
        <v>327</v>
      </c>
      <c r="B208" s="163" t="s">
        <v>116</v>
      </c>
      <c r="C208" s="166">
        <v>12.648809523809524</v>
      </c>
      <c r="D208" s="103">
        <f t="shared" si="19"/>
        <v>14</v>
      </c>
      <c r="E208" s="176">
        <f t="shared" si="20"/>
        <v>14.56</v>
      </c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</row>
    <row r="209" spans="1:27" s="60" customFormat="1" ht="24" hidden="1" customHeight="1" x14ac:dyDescent="0.25">
      <c r="A209" s="205" t="s">
        <v>328</v>
      </c>
      <c r="B209" s="163" t="s">
        <v>116</v>
      </c>
      <c r="C209" s="166">
        <v>13.732738095238094</v>
      </c>
      <c r="D209" s="103">
        <f t="shared" si="19"/>
        <v>15</v>
      </c>
      <c r="E209" s="176">
        <f t="shared" si="20"/>
        <v>15.600000000000001</v>
      </c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</row>
    <row r="210" spans="1:27" s="60" customFormat="1" ht="24" hidden="1" customHeight="1" x14ac:dyDescent="0.25">
      <c r="A210" s="205" t="s">
        <v>329</v>
      </c>
      <c r="B210" s="163" t="s">
        <v>116</v>
      </c>
      <c r="C210" s="166">
        <v>28.86904761904762</v>
      </c>
      <c r="D210" s="103">
        <f t="shared" si="19"/>
        <v>32</v>
      </c>
      <c r="E210" s="176">
        <f t="shared" si="20"/>
        <v>33.28</v>
      </c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</row>
    <row r="211" spans="1:27" s="60" customFormat="1" ht="24" hidden="1" customHeight="1" x14ac:dyDescent="0.25">
      <c r="A211" s="205" t="s">
        <v>330</v>
      </c>
      <c r="B211" s="163" t="s">
        <v>116</v>
      </c>
      <c r="C211" s="166">
        <v>46.13095238095238</v>
      </c>
      <c r="D211" s="103">
        <f t="shared" si="19"/>
        <v>51</v>
      </c>
      <c r="E211" s="176">
        <f t="shared" si="20"/>
        <v>53.04</v>
      </c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</row>
    <row r="212" spans="1:27" s="60" customFormat="1" ht="24" hidden="1" customHeight="1" x14ac:dyDescent="0.25">
      <c r="A212" s="205" t="s">
        <v>331</v>
      </c>
      <c r="B212" s="163" t="s">
        <v>116</v>
      </c>
      <c r="C212" s="166">
        <v>41.666666666666671</v>
      </c>
      <c r="D212" s="103">
        <f t="shared" si="19"/>
        <v>46</v>
      </c>
      <c r="E212" s="176">
        <f t="shared" si="20"/>
        <v>47.84</v>
      </c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</row>
    <row r="213" spans="1:27" s="60" customFormat="1" ht="24" hidden="1" customHeight="1" x14ac:dyDescent="0.25">
      <c r="A213" s="205" t="s">
        <v>332</v>
      </c>
      <c r="B213" s="163" t="s">
        <v>116</v>
      </c>
      <c r="C213" s="166">
        <v>5.2083333333333339</v>
      </c>
      <c r="D213" s="103">
        <f t="shared" si="19"/>
        <v>6</v>
      </c>
      <c r="E213" s="176">
        <f t="shared" si="20"/>
        <v>6.24</v>
      </c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</row>
    <row r="214" spans="1:27" s="60" customFormat="1" ht="24" hidden="1" customHeight="1" x14ac:dyDescent="0.25">
      <c r="A214" s="205" t="s">
        <v>333</v>
      </c>
      <c r="B214" s="163" t="s">
        <v>116</v>
      </c>
      <c r="C214" s="166">
        <v>14.880952380952381</v>
      </c>
      <c r="D214" s="103">
        <f t="shared" si="19"/>
        <v>16</v>
      </c>
      <c r="E214" s="176">
        <f t="shared" si="20"/>
        <v>16.64</v>
      </c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</row>
    <row r="215" spans="1:27" s="60" customFormat="1" ht="24" hidden="1" customHeight="1" x14ac:dyDescent="0.25">
      <c r="A215" s="205" t="s">
        <v>334</v>
      </c>
      <c r="B215" s="163" t="s">
        <v>116</v>
      </c>
      <c r="C215" s="166">
        <v>44.73</v>
      </c>
      <c r="D215" s="103">
        <f t="shared" si="19"/>
        <v>49</v>
      </c>
      <c r="E215" s="176">
        <f t="shared" si="20"/>
        <v>50.96</v>
      </c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</row>
    <row r="216" spans="1:27" s="60" customFormat="1" ht="24" hidden="1" customHeight="1" x14ac:dyDescent="0.25">
      <c r="A216" s="205" t="s">
        <v>335</v>
      </c>
      <c r="B216" s="163" t="s">
        <v>116</v>
      </c>
      <c r="C216" s="166">
        <v>154.01785714285714</v>
      </c>
      <c r="D216" s="103">
        <f t="shared" si="19"/>
        <v>169</v>
      </c>
      <c r="E216" s="176">
        <f t="shared" si="20"/>
        <v>175.76000000000002</v>
      </c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</row>
    <row r="217" spans="1:27" s="60" customFormat="1" ht="30.75" hidden="1" customHeight="1" x14ac:dyDescent="0.25">
      <c r="A217" s="205" t="s">
        <v>336</v>
      </c>
      <c r="B217" s="163" t="s">
        <v>116</v>
      </c>
      <c r="C217" s="166">
        <v>422.61904761904759</v>
      </c>
      <c r="D217" s="103">
        <f t="shared" si="19"/>
        <v>465</v>
      </c>
      <c r="E217" s="176">
        <f t="shared" si="20"/>
        <v>483.6</v>
      </c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</row>
    <row r="218" spans="1:27" s="60" customFormat="1" ht="24" customHeight="1" x14ac:dyDescent="0.25">
      <c r="A218" s="205" t="s">
        <v>337</v>
      </c>
      <c r="B218" s="163" t="s">
        <v>116</v>
      </c>
      <c r="C218" s="166">
        <v>52.976190476190474</v>
      </c>
      <c r="D218" s="103">
        <v>67</v>
      </c>
      <c r="E218" s="176">
        <f t="shared" si="20"/>
        <v>69.680000000000007</v>
      </c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</row>
    <row r="219" spans="1:27" s="60" customFormat="1" ht="24" hidden="1" customHeight="1" x14ac:dyDescent="0.25">
      <c r="A219" s="205" t="s">
        <v>338</v>
      </c>
      <c r="B219" s="163" t="s">
        <v>116</v>
      </c>
      <c r="C219" s="166">
        <v>81.845238095238102</v>
      </c>
      <c r="D219" s="103">
        <f t="shared" si="19"/>
        <v>90</v>
      </c>
      <c r="E219" s="176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</row>
    <row r="220" spans="1:27" s="60" customFormat="1" ht="48" customHeight="1" x14ac:dyDescent="0.2">
      <c r="A220" s="207" t="s">
        <v>493</v>
      </c>
      <c r="B220" s="163"/>
      <c r="C220" s="166"/>
      <c r="D220" s="103"/>
      <c r="E220" s="176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</row>
    <row r="221" spans="1:27" s="60" customFormat="1" ht="44.25" customHeight="1" x14ac:dyDescent="0.25">
      <c r="A221" s="208" t="s">
        <v>648</v>
      </c>
      <c r="B221" s="59" t="s">
        <v>737</v>
      </c>
      <c r="C221" s="166">
        <v>42.6</v>
      </c>
      <c r="D221" s="103">
        <v>54</v>
      </c>
      <c r="E221" s="176">
        <f t="shared" ref="E221:E231" si="21">D221*1.04</f>
        <v>56.160000000000004</v>
      </c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</row>
    <row r="222" spans="1:27" s="60" customFormat="1" ht="35.25" customHeight="1" x14ac:dyDescent="0.25">
      <c r="A222" s="208" t="s">
        <v>646</v>
      </c>
      <c r="B222" s="61" t="s">
        <v>642</v>
      </c>
      <c r="C222" s="166">
        <v>136</v>
      </c>
      <c r="D222" s="103">
        <v>173</v>
      </c>
      <c r="E222" s="176">
        <f t="shared" si="21"/>
        <v>179.92000000000002</v>
      </c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</row>
    <row r="223" spans="1:27" s="60" customFormat="1" ht="57.75" customHeight="1" x14ac:dyDescent="0.25">
      <c r="A223" s="208" t="s">
        <v>647</v>
      </c>
      <c r="B223" s="61" t="s">
        <v>642</v>
      </c>
      <c r="C223" s="166"/>
      <c r="D223" s="103">
        <v>161</v>
      </c>
      <c r="E223" s="176">
        <f t="shared" si="21"/>
        <v>167.44</v>
      </c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</row>
    <row r="224" spans="1:27" s="60" customFormat="1" ht="48" customHeight="1" x14ac:dyDescent="0.25">
      <c r="A224" s="205" t="s">
        <v>136</v>
      </c>
      <c r="B224" s="163"/>
      <c r="C224" s="166"/>
      <c r="D224" s="166"/>
      <c r="E224" s="176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</row>
    <row r="225" spans="1:27" s="60" customFormat="1" ht="24" customHeight="1" x14ac:dyDescent="0.25">
      <c r="A225" s="62" t="s">
        <v>339</v>
      </c>
      <c r="B225" s="166" t="s">
        <v>138</v>
      </c>
      <c r="C225" s="166">
        <v>91.67</v>
      </c>
      <c r="D225" s="103">
        <v>116</v>
      </c>
      <c r="E225" s="176">
        <f t="shared" si="21"/>
        <v>120.64</v>
      </c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</row>
    <row r="226" spans="1:27" s="60" customFormat="1" ht="24" customHeight="1" x14ac:dyDescent="0.25">
      <c r="A226" s="62" t="s">
        <v>340</v>
      </c>
      <c r="B226" s="166" t="s">
        <v>138</v>
      </c>
      <c r="C226" s="166">
        <v>70</v>
      </c>
      <c r="D226" s="103">
        <v>77</v>
      </c>
      <c r="E226" s="176">
        <f t="shared" si="21"/>
        <v>80.08</v>
      </c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</row>
    <row r="227" spans="1:27" s="60" customFormat="1" ht="24" customHeight="1" x14ac:dyDescent="0.25">
      <c r="A227" s="62" t="s">
        <v>341</v>
      </c>
      <c r="B227" s="166" t="s">
        <v>138</v>
      </c>
      <c r="C227" s="166">
        <v>26.041666666666664</v>
      </c>
      <c r="D227" s="103">
        <v>29</v>
      </c>
      <c r="E227" s="176">
        <f t="shared" si="21"/>
        <v>30.16</v>
      </c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</row>
    <row r="228" spans="1:27" s="60" customFormat="1" ht="24" customHeight="1" x14ac:dyDescent="0.25">
      <c r="A228" s="62" t="s">
        <v>342</v>
      </c>
      <c r="B228" s="166" t="s">
        <v>138</v>
      </c>
      <c r="C228" s="166">
        <v>83.33</v>
      </c>
      <c r="D228" s="103">
        <v>92</v>
      </c>
      <c r="E228" s="176">
        <f t="shared" si="21"/>
        <v>95.68</v>
      </c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</row>
    <row r="229" spans="1:27" s="60" customFormat="1" ht="24" customHeight="1" x14ac:dyDescent="0.25">
      <c r="A229" s="62" t="s">
        <v>343</v>
      </c>
      <c r="B229" s="166" t="s">
        <v>138</v>
      </c>
      <c r="C229" s="166">
        <v>26.04</v>
      </c>
      <c r="D229" s="103">
        <v>29</v>
      </c>
      <c r="E229" s="176">
        <f t="shared" si="21"/>
        <v>30.16</v>
      </c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</row>
    <row r="230" spans="1:27" s="60" customFormat="1" ht="24" customHeight="1" x14ac:dyDescent="0.25">
      <c r="A230" s="62" t="s">
        <v>649</v>
      </c>
      <c r="B230" s="166" t="s">
        <v>138</v>
      </c>
      <c r="C230" s="166">
        <v>31.25</v>
      </c>
      <c r="D230" s="103">
        <v>34</v>
      </c>
      <c r="E230" s="176">
        <f t="shared" si="21"/>
        <v>35.36</v>
      </c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</row>
    <row r="231" spans="1:27" s="60" customFormat="1" ht="24" customHeight="1" x14ac:dyDescent="0.25">
      <c r="A231" s="62" t="s">
        <v>344</v>
      </c>
      <c r="B231" s="166" t="s">
        <v>138</v>
      </c>
      <c r="C231" s="166">
        <v>18</v>
      </c>
      <c r="D231" s="103">
        <v>273</v>
      </c>
      <c r="E231" s="176">
        <f t="shared" si="21"/>
        <v>283.92</v>
      </c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</row>
    <row r="232" spans="1:27" s="60" customFormat="1" ht="24" hidden="1" customHeight="1" x14ac:dyDescent="0.25">
      <c r="A232" s="205" t="s">
        <v>345</v>
      </c>
      <c r="B232" s="163" t="s">
        <v>138</v>
      </c>
      <c r="C232" s="166">
        <v>43.687499999999993</v>
      </c>
      <c r="D232" s="103">
        <f t="shared" ref="D232:D243" si="22">ROUND(C232*1.1,0)</f>
        <v>48</v>
      </c>
      <c r="E232" s="176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</row>
    <row r="233" spans="1:27" s="60" customFormat="1" ht="24" hidden="1" customHeight="1" x14ac:dyDescent="0.25">
      <c r="A233" s="205" t="s">
        <v>346</v>
      </c>
      <c r="B233" s="163" t="s">
        <v>138</v>
      </c>
      <c r="C233" s="166">
        <v>14.108854166666667</v>
      </c>
      <c r="D233" s="103">
        <f t="shared" si="22"/>
        <v>16</v>
      </c>
      <c r="E233" s="176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</row>
    <row r="234" spans="1:27" s="60" customFormat="1" ht="24" hidden="1" customHeight="1" x14ac:dyDescent="0.25">
      <c r="A234" s="205" t="s">
        <v>347</v>
      </c>
      <c r="B234" s="163" t="s">
        <v>138</v>
      </c>
      <c r="C234" s="166">
        <v>5.713541666666667</v>
      </c>
      <c r="D234" s="103">
        <f t="shared" si="22"/>
        <v>6</v>
      </c>
      <c r="E234" s="176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</row>
    <row r="235" spans="1:27" s="60" customFormat="1" ht="24" hidden="1" customHeight="1" x14ac:dyDescent="0.25">
      <c r="A235" s="205" t="s">
        <v>348</v>
      </c>
      <c r="B235" s="163" t="s">
        <v>138</v>
      </c>
      <c r="C235" s="166">
        <v>23.466666666666669</v>
      </c>
      <c r="D235" s="103">
        <f t="shared" si="22"/>
        <v>26</v>
      </c>
      <c r="E235" s="176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</row>
    <row r="236" spans="1:27" s="60" customFormat="1" ht="24" hidden="1" customHeight="1" x14ac:dyDescent="0.25">
      <c r="A236" s="205" t="s">
        <v>349</v>
      </c>
      <c r="B236" s="163" t="s">
        <v>138</v>
      </c>
      <c r="C236" s="166">
        <v>11.905208333333334</v>
      </c>
      <c r="D236" s="103">
        <f t="shared" si="22"/>
        <v>13</v>
      </c>
      <c r="E236" s="176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</row>
    <row r="237" spans="1:27" s="60" customFormat="1" ht="24" hidden="1" customHeight="1" x14ac:dyDescent="0.25">
      <c r="A237" s="205" t="s">
        <v>350</v>
      </c>
      <c r="B237" s="163" t="s">
        <v>138</v>
      </c>
      <c r="C237" s="166">
        <v>18.954687499999999</v>
      </c>
      <c r="D237" s="103">
        <f t="shared" si="22"/>
        <v>21</v>
      </c>
      <c r="E237" s="176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</row>
    <row r="238" spans="1:27" s="60" customFormat="1" ht="24" hidden="1" customHeight="1" x14ac:dyDescent="0.25">
      <c r="A238" s="205" t="s">
        <v>351</v>
      </c>
      <c r="B238" s="163" t="s">
        <v>138</v>
      </c>
      <c r="C238" s="166">
        <v>31.25</v>
      </c>
      <c r="D238" s="103">
        <f t="shared" si="22"/>
        <v>34</v>
      </c>
      <c r="E238" s="176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</row>
    <row r="239" spans="1:27" s="60" customFormat="1" ht="24" hidden="1" customHeight="1" x14ac:dyDescent="0.25">
      <c r="A239" s="205" t="s">
        <v>352</v>
      </c>
      <c r="B239" s="163" t="s">
        <v>138</v>
      </c>
      <c r="C239" s="166">
        <v>27.083333333333336</v>
      </c>
      <c r="D239" s="103">
        <f t="shared" si="22"/>
        <v>30</v>
      </c>
      <c r="E239" s="176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</row>
    <row r="240" spans="1:27" s="60" customFormat="1" ht="24" hidden="1" customHeight="1" x14ac:dyDescent="0.25">
      <c r="A240" s="205" t="s">
        <v>353</v>
      </c>
      <c r="B240" s="163" t="s">
        <v>138</v>
      </c>
      <c r="C240" s="166">
        <v>26.125624999999999</v>
      </c>
      <c r="D240" s="103">
        <f t="shared" si="22"/>
        <v>29</v>
      </c>
      <c r="E240" s="176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</row>
    <row r="241" spans="1:28" s="60" customFormat="1" ht="24" hidden="1" customHeight="1" x14ac:dyDescent="0.25">
      <c r="A241" s="205" t="s">
        <v>354</v>
      </c>
      <c r="B241" s="163" t="s">
        <v>138</v>
      </c>
      <c r="C241" s="166">
        <v>12.5</v>
      </c>
      <c r="D241" s="103">
        <f t="shared" si="22"/>
        <v>14</v>
      </c>
      <c r="E241" s="176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</row>
    <row r="242" spans="1:28" s="60" customFormat="1" ht="24" hidden="1" customHeight="1" x14ac:dyDescent="0.25">
      <c r="A242" s="209" t="s">
        <v>355</v>
      </c>
      <c r="B242" s="136" t="s">
        <v>138</v>
      </c>
      <c r="C242" s="76">
        <v>25</v>
      </c>
      <c r="D242" s="108">
        <f t="shared" si="22"/>
        <v>28</v>
      </c>
      <c r="E242" s="189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288" t="s">
        <v>650</v>
      </c>
    </row>
    <row r="243" spans="1:28" s="60" customFormat="1" ht="24" hidden="1" customHeight="1" x14ac:dyDescent="0.25">
      <c r="A243" s="209" t="s">
        <v>356</v>
      </c>
      <c r="B243" s="136" t="s">
        <v>138</v>
      </c>
      <c r="C243" s="76">
        <v>33.333333333333336</v>
      </c>
      <c r="D243" s="108">
        <f t="shared" si="22"/>
        <v>37</v>
      </c>
      <c r="E243" s="189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289"/>
    </row>
    <row r="244" spans="1:28" s="60" customFormat="1" ht="72" customHeight="1" x14ac:dyDescent="0.25">
      <c r="A244" s="142" t="s">
        <v>651</v>
      </c>
      <c r="B244" s="163"/>
      <c r="C244" s="166"/>
      <c r="D244" s="166"/>
      <c r="E244" s="176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</row>
    <row r="245" spans="1:28" s="60" customFormat="1" ht="24" customHeight="1" x14ac:dyDescent="0.25">
      <c r="A245" s="142" t="s">
        <v>652</v>
      </c>
      <c r="B245" s="136" t="s">
        <v>32</v>
      </c>
      <c r="C245" s="166">
        <v>74.55</v>
      </c>
      <c r="D245" s="103">
        <v>94</v>
      </c>
      <c r="E245" s="176">
        <f>D245*1.04</f>
        <v>97.76</v>
      </c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</row>
    <row r="246" spans="1:28" s="60" customFormat="1" ht="24" customHeight="1" x14ac:dyDescent="0.25">
      <c r="A246" s="142" t="s">
        <v>557</v>
      </c>
      <c r="B246" s="136" t="s">
        <v>32</v>
      </c>
      <c r="C246" s="166"/>
      <c r="D246" s="103">
        <v>141</v>
      </c>
      <c r="E246" s="176">
        <f>D246*1.04</f>
        <v>146.64000000000001</v>
      </c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</row>
    <row r="247" spans="1:28" s="60" customFormat="1" ht="24" customHeight="1" x14ac:dyDescent="0.25">
      <c r="A247" s="142" t="s">
        <v>653</v>
      </c>
      <c r="B247" s="136" t="s">
        <v>32</v>
      </c>
      <c r="C247" s="166">
        <v>74.55</v>
      </c>
      <c r="D247" s="103">
        <v>94</v>
      </c>
      <c r="E247" s="176">
        <f>D247*1.04</f>
        <v>97.76</v>
      </c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</row>
    <row r="248" spans="1:28" s="60" customFormat="1" ht="24" customHeight="1" x14ac:dyDescent="0.25">
      <c r="A248" s="142" t="s">
        <v>654</v>
      </c>
      <c r="B248" s="136" t="s">
        <v>32</v>
      </c>
      <c r="C248" s="166"/>
      <c r="D248" s="103">
        <v>141</v>
      </c>
      <c r="E248" s="176">
        <f>D248*1.04</f>
        <v>146.64000000000001</v>
      </c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</row>
    <row r="249" spans="1:28" s="60" customFormat="1" ht="24" customHeight="1" x14ac:dyDescent="0.25">
      <c r="A249" s="205" t="s">
        <v>160</v>
      </c>
      <c r="B249" s="163"/>
      <c r="C249" s="166"/>
      <c r="D249" s="166"/>
      <c r="E249" s="176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</row>
    <row r="250" spans="1:28" s="60" customFormat="1" ht="24" customHeight="1" x14ac:dyDescent="0.25">
      <c r="A250" s="142" t="s">
        <v>499</v>
      </c>
      <c r="B250" s="163" t="s">
        <v>32</v>
      </c>
      <c r="C250" s="166">
        <v>90</v>
      </c>
      <c r="D250" s="103">
        <v>114</v>
      </c>
      <c r="E250" s="176">
        <f t="shared" ref="E250:E256" si="23">D250*1.04</f>
        <v>118.56</v>
      </c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</row>
    <row r="251" spans="1:28" s="60" customFormat="1" ht="24" customHeight="1" x14ac:dyDescent="0.25">
      <c r="A251" s="142" t="s">
        <v>500</v>
      </c>
      <c r="B251" s="163" t="s">
        <v>32</v>
      </c>
      <c r="C251" s="166">
        <v>30</v>
      </c>
      <c r="D251" s="103">
        <v>38</v>
      </c>
      <c r="E251" s="176">
        <f t="shared" si="23"/>
        <v>39.520000000000003</v>
      </c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</row>
    <row r="252" spans="1:28" s="60" customFormat="1" ht="24" customHeight="1" x14ac:dyDescent="0.25">
      <c r="A252" s="210" t="s">
        <v>655</v>
      </c>
      <c r="B252" s="163" t="s">
        <v>32</v>
      </c>
      <c r="C252" s="166">
        <v>30</v>
      </c>
      <c r="D252" s="103">
        <v>29</v>
      </c>
      <c r="E252" s="176">
        <f t="shared" si="23"/>
        <v>30.16</v>
      </c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</row>
    <row r="253" spans="1:28" s="60" customFormat="1" ht="49.5" customHeight="1" x14ac:dyDescent="0.25">
      <c r="A253" s="205" t="s">
        <v>656</v>
      </c>
      <c r="B253" s="163" t="s">
        <v>32</v>
      </c>
      <c r="C253" s="166"/>
      <c r="D253" s="176">
        <v>52</v>
      </c>
      <c r="E253" s="176">
        <f t="shared" si="23"/>
        <v>54.08</v>
      </c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</row>
    <row r="254" spans="1:28" s="60" customFormat="1" ht="24" hidden="1" customHeight="1" x14ac:dyDescent="0.25">
      <c r="A254" s="205" t="s">
        <v>166</v>
      </c>
      <c r="B254" s="163" t="s">
        <v>88</v>
      </c>
      <c r="C254" s="166">
        <v>21.3</v>
      </c>
      <c r="D254" s="103">
        <f t="shared" ref="D254:D255" si="24">ROUND(C254*1.1,0)</f>
        <v>23</v>
      </c>
      <c r="E254" s="176">
        <f t="shared" si="23"/>
        <v>23.92</v>
      </c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</row>
    <row r="255" spans="1:28" s="60" customFormat="1" ht="24" hidden="1" customHeight="1" x14ac:dyDescent="0.25">
      <c r="A255" s="205" t="s">
        <v>167</v>
      </c>
      <c r="B255" s="163" t="s">
        <v>88</v>
      </c>
      <c r="C255" s="166">
        <v>20</v>
      </c>
      <c r="D255" s="103">
        <f t="shared" si="24"/>
        <v>22</v>
      </c>
      <c r="E255" s="176">
        <f t="shared" si="23"/>
        <v>22.880000000000003</v>
      </c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</row>
    <row r="256" spans="1:28" s="60" customFormat="1" ht="40.5" customHeight="1" x14ac:dyDescent="0.25">
      <c r="A256" s="142" t="s">
        <v>658</v>
      </c>
      <c r="B256" s="163" t="s">
        <v>32</v>
      </c>
      <c r="C256" s="166">
        <v>31.95</v>
      </c>
      <c r="D256" s="103">
        <v>40</v>
      </c>
      <c r="E256" s="176">
        <f t="shared" si="23"/>
        <v>41.6</v>
      </c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</row>
    <row r="257" spans="1:27" s="60" customFormat="1" ht="183" customHeight="1" x14ac:dyDescent="0.25">
      <c r="A257" s="142" t="s">
        <v>659</v>
      </c>
      <c r="B257" s="163"/>
      <c r="C257" s="166"/>
      <c r="D257" s="166"/>
      <c r="E257" s="176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</row>
    <row r="258" spans="1:27" s="60" customFormat="1" ht="61.5" customHeight="1" x14ac:dyDescent="0.25">
      <c r="A258" s="205" t="s">
        <v>660</v>
      </c>
      <c r="B258" s="137" t="s">
        <v>605</v>
      </c>
      <c r="C258" s="166">
        <v>21.3</v>
      </c>
      <c r="D258" s="103">
        <v>26</v>
      </c>
      <c r="E258" s="176">
        <f>D258*1.04</f>
        <v>27.04</v>
      </c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</row>
    <row r="259" spans="1:27" s="60" customFormat="1" ht="67.5" customHeight="1" x14ac:dyDescent="0.25">
      <c r="A259" s="205" t="s">
        <v>169</v>
      </c>
      <c r="B259" s="137" t="s">
        <v>605</v>
      </c>
      <c r="C259" s="166">
        <v>21.3</v>
      </c>
      <c r="D259" s="103">
        <v>26</v>
      </c>
      <c r="E259" s="176">
        <f>D259*1.04</f>
        <v>27.04</v>
      </c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</row>
    <row r="260" spans="1:27" s="60" customFormat="1" ht="70.5" customHeight="1" x14ac:dyDescent="0.25">
      <c r="A260" s="205" t="s">
        <v>661</v>
      </c>
      <c r="B260" s="137" t="s">
        <v>605</v>
      </c>
      <c r="C260" s="166">
        <v>15.98</v>
      </c>
      <c r="D260" s="103">
        <v>17</v>
      </c>
      <c r="E260" s="176">
        <f>D260*1.04</f>
        <v>17.68</v>
      </c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</row>
    <row r="261" spans="1:27" s="60" customFormat="1" ht="69" customHeight="1" x14ac:dyDescent="0.25">
      <c r="A261" s="205" t="s">
        <v>177</v>
      </c>
      <c r="B261" s="137" t="s">
        <v>605</v>
      </c>
      <c r="C261" s="166">
        <v>5.33</v>
      </c>
      <c r="D261" s="103">
        <v>7</v>
      </c>
      <c r="E261" s="176">
        <f>D261*1.04</f>
        <v>7.28</v>
      </c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</row>
    <row r="262" spans="1:27" s="60" customFormat="1" ht="61.5" customHeight="1" x14ac:dyDescent="0.25">
      <c r="A262" s="205" t="s">
        <v>178</v>
      </c>
      <c r="B262" s="137" t="s">
        <v>605</v>
      </c>
      <c r="C262" s="166">
        <v>21.3</v>
      </c>
      <c r="D262" s="103">
        <v>23</v>
      </c>
      <c r="E262" s="176">
        <f>D262*1.04</f>
        <v>23.92</v>
      </c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</row>
    <row r="263" spans="1:27" s="60" customFormat="1" ht="170.25" customHeight="1" x14ac:dyDescent="0.2">
      <c r="A263" s="211" t="s">
        <v>662</v>
      </c>
      <c r="B263" s="163"/>
      <c r="C263" s="166"/>
      <c r="D263" s="103"/>
      <c r="E263" s="176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</row>
    <row r="264" spans="1:27" s="60" customFormat="1" ht="72" customHeight="1" x14ac:dyDescent="0.2">
      <c r="A264" s="211" t="s">
        <v>663</v>
      </c>
      <c r="B264" s="137" t="s">
        <v>605</v>
      </c>
      <c r="C264" s="166">
        <v>33</v>
      </c>
      <c r="D264" s="103">
        <v>41</v>
      </c>
      <c r="E264" s="176">
        <f t="shared" ref="E264:E278" si="25">D264*1.04</f>
        <v>42.64</v>
      </c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</row>
    <row r="265" spans="1:27" s="60" customFormat="1" ht="70.5" customHeight="1" x14ac:dyDescent="0.25">
      <c r="A265" s="142" t="s">
        <v>509</v>
      </c>
      <c r="B265" s="137" t="s">
        <v>605</v>
      </c>
      <c r="C265" s="166"/>
      <c r="D265" s="103">
        <v>41</v>
      </c>
      <c r="E265" s="176">
        <f t="shared" si="25"/>
        <v>42.64</v>
      </c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</row>
    <row r="266" spans="1:27" s="60" customFormat="1" ht="101.25" customHeight="1" x14ac:dyDescent="0.25">
      <c r="A266" s="142" t="s">
        <v>664</v>
      </c>
      <c r="B266" s="141" t="s">
        <v>713</v>
      </c>
      <c r="C266" s="166">
        <v>31.95</v>
      </c>
      <c r="D266" s="103">
        <v>40</v>
      </c>
      <c r="E266" s="176">
        <f t="shared" si="25"/>
        <v>41.6</v>
      </c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</row>
    <row r="267" spans="1:27" s="60" customFormat="1" ht="108" customHeight="1" x14ac:dyDescent="0.25">
      <c r="A267" s="142" t="s">
        <v>665</v>
      </c>
      <c r="B267" s="141" t="s">
        <v>713</v>
      </c>
      <c r="C267" s="166"/>
      <c r="D267" s="103">
        <v>80</v>
      </c>
      <c r="E267" s="176">
        <f t="shared" si="25"/>
        <v>83.2</v>
      </c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</row>
    <row r="268" spans="1:27" s="60" customFormat="1" ht="51.75" customHeight="1" x14ac:dyDescent="0.25">
      <c r="A268" s="142" t="s">
        <v>506</v>
      </c>
      <c r="B268" s="137" t="s">
        <v>605</v>
      </c>
      <c r="C268" s="166">
        <v>10.65</v>
      </c>
      <c r="D268" s="103">
        <v>14</v>
      </c>
      <c r="E268" s="176">
        <f t="shared" si="25"/>
        <v>14.56</v>
      </c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</row>
    <row r="269" spans="1:27" s="60" customFormat="1" ht="36.75" hidden="1" customHeight="1" x14ac:dyDescent="0.25">
      <c r="A269" s="205" t="s">
        <v>175</v>
      </c>
      <c r="B269" s="163" t="s">
        <v>32</v>
      </c>
      <c r="C269" s="166">
        <v>42.6</v>
      </c>
      <c r="D269" s="103">
        <f>ROUND(C269*1.1,0)*1.15</f>
        <v>54.05</v>
      </c>
      <c r="E269" s="176">
        <f t="shared" si="25"/>
        <v>56.211999999999996</v>
      </c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</row>
    <row r="270" spans="1:27" s="60" customFormat="1" ht="37.5" customHeight="1" x14ac:dyDescent="0.25">
      <c r="A270" s="205" t="s">
        <v>176</v>
      </c>
      <c r="B270" s="163" t="s">
        <v>642</v>
      </c>
      <c r="C270" s="166">
        <v>10.65</v>
      </c>
      <c r="D270" s="103">
        <v>14</v>
      </c>
      <c r="E270" s="176">
        <f t="shared" si="25"/>
        <v>14.56</v>
      </c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</row>
    <row r="271" spans="1:27" s="60" customFormat="1" ht="98.25" customHeight="1" x14ac:dyDescent="0.25">
      <c r="A271" s="142" t="s">
        <v>720</v>
      </c>
      <c r="B271" s="163" t="s">
        <v>32</v>
      </c>
      <c r="C271" s="166">
        <v>194</v>
      </c>
      <c r="D271" s="103">
        <v>245</v>
      </c>
      <c r="E271" s="176">
        <f t="shared" si="25"/>
        <v>254.8</v>
      </c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</row>
    <row r="272" spans="1:27" s="60" customFormat="1" ht="66" customHeight="1" x14ac:dyDescent="0.25">
      <c r="A272" s="142" t="s">
        <v>511</v>
      </c>
      <c r="B272" s="163" t="s">
        <v>32</v>
      </c>
      <c r="C272" s="166"/>
      <c r="D272" s="103">
        <v>253</v>
      </c>
      <c r="E272" s="176">
        <f t="shared" si="25"/>
        <v>263.12</v>
      </c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</row>
    <row r="273" spans="1:27" s="60" customFormat="1" ht="24" customHeight="1" x14ac:dyDescent="0.25">
      <c r="A273" s="142" t="s">
        <v>666</v>
      </c>
      <c r="B273" s="163" t="s">
        <v>32</v>
      </c>
      <c r="C273" s="166">
        <v>21.3</v>
      </c>
      <c r="D273" s="103">
        <v>26</v>
      </c>
      <c r="E273" s="176">
        <f t="shared" si="25"/>
        <v>27.04</v>
      </c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</row>
    <row r="274" spans="1:27" s="60" customFormat="1" ht="66.75" customHeight="1" x14ac:dyDescent="0.25">
      <c r="A274" s="205" t="s">
        <v>512</v>
      </c>
      <c r="B274" s="163" t="s">
        <v>32</v>
      </c>
      <c r="C274" s="166"/>
      <c r="D274" s="176">
        <v>20</v>
      </c>
      <c r="E274" s="176">
        <f t="shared" si="25"/>
        <v>20.8</v>
      </c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</row>
    <row r="275" spans="1:27" s="60" customFormat="1" ht="24" hidden="1" customHeight="1" x14ac:dyDescent="0.25">
      <c r="A275" s="205" t="s">
        <v>183</v>
      </c>
      <c r="B275" s="163" t="s">
        <v>32</v>
      </c>
      <c r="C275" s="166">
        <v>21.3</v>
      </c>
      <c r="D275" s="103">
        <f t="shared" ref="D275:D276" si="26">ROUND(C275*1.1,0)</f>
        <v>23</v>
      </c>
      <c r="E275" s="176">
        <f t="shared" si="25"/>
        <v>23.92</v>
      </c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</row>
    <row r="276" spans="1:27" s="60" customFormat="1" ht="24" hidden="1" customHeight="1" x14ac:dyDescent="0.25">
      <c r="A276" s="205" t="s">
        <v>184</v>
      </c>
      <c r="B276" s="163" t="s">
        <v>32</v>
      </c>
      <c r="C276" s="166">
        <v>10.65</v>
      </c>
      <c r="D276" s="103">
        <f t="shared" si="26"/>
        <v>12</v>
      </c>
      <c r="E276" s="176">
        <f t="shared" si="25"/>
        <v>12.48</v>
      </c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</row>
    <row r="277" spans="1:27" s="60" customFormat="1" ht="80.25" customHeight="1" x14ac:dyDescent="0.25">
      <c r="A277" s="142" t="s">
        <v>667</v>
      </c>
      <c r="B277" s="163" t="s">
        <v>32</v>
      </c>
      <c r="C277" s="166">
        <v>53.25</v>
      </c>
      <c r="D277" s="103">
        <v>59</v>
      </c>
      <c r="E277" s="176">
        <f t="shared" si="25"/>
        <v>61.36</v>
      </c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</row>
    <row r="278" spans="1:27" s="60" customFormat="1" ht="201.75" customHeight="1" x14ac:dyDescent="0.25">
      <c r="A278" s="145" t="s">
        <v>721</v>
      </c>
      <c r="B278" s="88" t="s">
        <v>725</v>
      </c>
      <c r="C278" s="89"/>
      <c r="D278" s="125">
        <v>328</v>
      </c>
      <c r="E278" s="176">
        <f t="shared" si="25"/>
        <v>341.12</v>
      </c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</row>
    <row r="279" spans="1:27" s="60" customFormat="1" ht="24" customHeight="1" x14ac:dyDescent="0.25">
      <c r="A279" s="263" t="s">
        <v>91</v>
      </c>
      <c r="B279" s="263"/>
      <c r="C279" s="263"/>
      <c r="D279" s="263"/>
      <c r="E279" s="263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</row>
    <row r="280" spans="1:27" s="60" customFormat="1" ht="45" customHeight="1" x14ac:dyDescent="0.25">
      <c r="A280" s="142" t="s">
        <v>566</v>
      </c>
      <c r="B280" s="163" t="s">
        <v>32</v>
      </c>
      <c r="C280" s="166">
        <v>106.5</v>
      </c>
      <c r="D280" s="103">
        <v>135</v>
      </c>
      <c r="E280" s="117">
        <f t="shared" ref="E280:E287" si="27">D280*1.04</f>
        <v>140.4</v>
      </c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</row>
    <row r="281" spans="1:27" s="60" customFormat="1" ht="35.25" customHeight="1" x14ac:dyDescent="0.25">
      <c r="A281" s="205" t="s">
        <v>514</v>
      </c>
      <c r="B281" s="163"/>
      <c r="C281" s="166"/>
      <c r="D281" s="166"/>
      <c r="E281" s="117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</row>
    <row r="282" spans="1:27" s="60" customFormat="1" ht="71.25" customHeight="1" x14ac:dyDescent="0.2">
      <c r="A282" s="211" t="s">
        <v>668</v>
      </c>
      <c r="B282" s="141" t="s">
        <v>669</v>
      </c>
      <c r="C282" s="166">
        <v>122.02</v>
      </c>
      <c r="D282" s="103">
        <v>154</v>
      </c>
      <c r="E282" s="117">
        <f t="shared" si="27"/>
        <v>160.16</v>
      </c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</row>
    <row r="283" spans="1:27" s="60" customFormat="1" ht="74.25" hidden="1" customHeight="1" x14ac:dyDescent="0.25">
      <c r="A283" s="205" t="s">
        <v>189</v>
      </c>
      <c r="B283" s="163" t="s">
        <v>32</v>
      </c>
      <c r="C283" s="166">
        <v>159.75</v>
      </c>
      <c r="D283" s="103">
        <f t="shared" ref="D283" si="28">ROUND(C283*1.1,0)</f>
        <v>176</v>
      </c>
      <c r="E283" s="117">
        <f t="shared" si="27"/>
        <v>183.04000000000002</v>
      </c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</row>
    <row r="284" spans="1:27" s="60" customFormat="1" ht="60" customHeight="1" x14ac:dyDescent="0.25">
      <c r="A284" s="142" t="s">
        <v>670</v>
      </c>
      <c r="B284" s="141" t="s">
        <v>722</v>
      </c>
      <c r="C284" s="166">
        <v>63.9</v>
      </c>
      <c r="D284" s="103">
        <v>81</v>
      </c>
      <c r="E284" s="117">
        <f t="shared" si="27"/>
        <v>84.240000000000009</v>
      </c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</row>
    <row r="285" spans="1:27" s="60" customFormat="1" ht="80.25" customHeight="1" x14ac:dyDescent="0.25">
      <c r="A285" s="142" t="s">
        <v>671</v>
      </c>
      <c r="B285" s="212" t="s">
        <v>723</v>
      </c>
      <c r="C285" s="166">
        <v>21.3</v>
      </c>
      <c r="D285" s="103">
        <v>26</v>
      </c>
      <c r="E285" s="117">
        <f t="shared" si="27"/>
        <v>27.04</v>
      </c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</row>
    <row r="286" spans="1:27" s="140" customFormat="1" ht="15" customHeight="1" x14ac:dyDescent="0.25">
      <c r="A286" s="145" t="s">
        <v>226</v>
      </c>
      <c r="B286" s="138" t="s">
        <v>32</v>
      </c>
      <c r="C286" s="89">
        <v>120</v>
      </c>
      <c r="D286" s="125">
        <v>152</v>
      </c>
      <c r="E286" s="117">
        <f t="shared" si="27"/>
        <v>158.08000000000001</v>
      </c>
      <c r="F286" s="139"/>
      <c r="G286" s="139"/>
      <c r="H286" s="139"/>
      <c r="I286" s="139"/>
      <c r="J286" s="139"/>
      <c r="K286" s="139"/>
      <c r="L286" s="139"/>
      <c r="M286" s="139"/>
      <c r="N286" s="139"/>
      <c r="O286" s="139"/>
      <c r="P286" s="139"/>
      <c r="Q286" s="139"/>
      <c r="R286" s="139"/>
      <c r="S286" s="139"/>
      <c r="T286" s="139"/>
      <c r="U286" s="139"/>
      <c r="V286" s="139"/>
      <c r="W286" s="139"/>
      <c r="X286" s="139"/>
      <c r="Y286" s="139"/>
      <c r="Z286" s="139"/>
      <c r="AA286" s="139"/>
    </row>
    <row r="287" spans="1:27" s="140" customFormat="1" ht="15" customHeight="1" x14ac:dyDescent="0.25">
      <c r="A287" s="145" t="s">
        <v>227</v>
      </c>
      <c r="B287" s="138" t="s">
        <v>32</v>
      </c>
      <c r="C287" s="89">
        <v>100</v>
      </c>
      <c r="D287" s="125">
        <v>127</v>
      </c>
      <c r="E287" s="117">
        <f t="shared" si="27"/>
        <v>132.08000000000001</v>
      </c>
      <c r="F287" s="139"/>
      <c r="G287" s="139"/>
      <c r="H287" s="139"/>
      <c r="I287" s="139"/>
      <c r="J287" s="139"/>
      <c r="K287" s="139"/>
      <c r="L287" s="139"/>
      <c r="M287" s="139"/>
      <c r="N287" s="139"/>
      <c r="O287" s="139"/>
      <c r="P287" s="139"/>
      <c r="Q287" s="139"/>
      <c r="R287" s="139"/>
      <c r="S287" s="139"/>
      <c r="T287" s="139"/>
      <c r="U287" s="139"/>
      <c r="V287" s="139"/>
      <c r="W287" s="139"/>
      <c r="X287" s="139"/>
      <c r="Y287" s="139"/>
      <c r="Z287" s="139"/>
      <c r="AA287" s="139"/>
    </row>
    <row r="288" spans="1:27" s="140" customFormat="1" ht="15" customHeight="1" x14ac:dyDescent="0.25">
      <c r="A288" s="145" t="s">
        <v>228</v>
      </c>
      <c r="B288" s="138" t="s">
        <v>229</v>
      </c>
      <c r="C288" s="89">
        <v>10.65</v>
      </c>
      <c r="D288" s="125">
        <v>14</v>
      </c>
      <c r="E288" s="117">
        <f t="shared" ref="E288:E310" si="29">D288*1.04</f>
        <v>14.56</v>
      </c>
      <c r="F288" s="139"/>
      <c r="G288" s="139"/>
      <c r="H288" s="139"/>
      <c r="I288" s="139"/>
      <c r="J288" s="139"/>
      <c r="K288" s="139"/>
      <c r="L288" s="139"/>
      <c r="M288" s="139"/>
      <c r="N288" s="139"/>
      <c r="O288" s="139"/>
      <c r="P288" s="139"/>
      <c r="Q288" s="139"/>
      <c r="R288" s="139"/>
      <c r="S288" s="139"/>
      <c r="T288" s="139"/>
      <c r="U288" s="139"/>
      <c r="V288" s="139"/>
      <c r="W288" s="139"/>
      <c r="X288" s="139"/>
      <c r="Y288" s="139"/>
      <c r="Z288" s="139"/>
      <c r="AA288" s="139"/>
    </row>
    <row r="289" spans="1:27" s="60" customFormat="1" ht="134.25" customHeight="1" x14ac:dyDescent="0.25">
      <c r="A289" s="142" t="s">
        <v>521</v>
      </c>
      <c r="B289" s="163"/>
      <c r="C289" s="166"/>
      <c r="D289" s="166"/>
      <c r="E289" s="176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</row>
    <row r="290" spans="1:27" s="60" customFormat="1" ht="90.75" customHeight="1" x14ac:dyDescent="0.25">
      <c r="A290" s="142" t="s">
        <v>672</v>
      </c>
      <c r="B290" s="141" t="s">
        <v>722</v>
      </c>
      <c r="C290" s="166">
        <v>15.98</v>
      </c>
      <c r="D290" s="103">
        <v>21</v>
      </c>
      <c r="E290" s="117">
        <f t="shared" si="29"/>
        <v>21.84</v>
      </c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</row>
    <row r="291" spans="1:27" s="60" customFormat="1" ht="127.5" customHeight="1" x14ac:dyDescent="0.25">
      <c r="A291" s="204" t="s">
        <v>643</v>
      </c>
      <c r="B291" s="141" t="s">
        <v>722</v>
      </c>
      <c r="C291" s="166">
        <v>14</v>
      </c>
      <c r="D291" s="103">
        <v>81</v>
      </c>
      <c r="E291" s="117">
        <f t="shared" si="29"/>
        <v>84.240000000000009</v>
      </c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</row>
    <row r="292" spans="1:27" s="60" customFormat="1" ht="74.25" customHeight="1" x14ac:dyDescent="0.25">
      <c r="A292" s="142" t="s">
        <v>673</v>
      </c>
      <c r="B292" s="141" t="s">
        <v>724</v>
      </c>
      <c r="C292" s="166">
        <v>42.6</v>
      </c>
      <c r="D292" s="103">
        <v>54</v>
      </c>
      <c r="E292" s="117">
        <f t="shared" si="29"/>
        <v>56.160000000000004</v>
      </c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</row>
    <row r="293" spans="1:27" s="60" customFormat="1" ht="91.5" customHeight="1" x14ac:dyDescent="0.2">
      <c r="A293" s="211" t="s">
        <v>524</v>
      </c>
      <c r="B293" s="143" t="s">
        <v>718</v>
      </c>
      <c r="C293" s="166">
        <v>23</v>
      </c>
      <c r="D293" s="103">
        <v>25</v>
      </c>
      <c r="E293" s="117">
        <f t="shared" si="29"/>
        <v>26</v>
      </c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</row>
    <row r="294" spans="1:27" s="60" customFormat="1" ht="84.75" customHeight="1" x14ac:dyDescent="0.25">
      <c r="A294" s="205" t="s">
        <v>674</v>
      </c>
      <c r="B294" s="163" t="s">
        <v>32</v>
      </c>
      <c r="C294" s="166">
        <v>26.63</v>
      </c>
      <c r="D294" s="103">
        <v>33</v>
      </c>
      <c r="E294" s="117">
        <f t="shared" si="29"/>
        <v>34.32</v>
      </c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</row>
    <row r="295" spans="1:27" s="60" customFormat="1" ht="86.25" customHeight="1" x14ac:dyDescent="0.25">
      <c r="A295" s="205" t="s">
        <v>525</v>
      </c>
      <c r="B295" s="163" t="s">
        <v>32</v>
      </c>
      <c r="C295" s="166">
        <v>145.04838278715846</v>
      </c>
      <c r="D295" s="103">
        <v>184</v>
      </c>
      <c r="E295" s="117">
        <f t="shared" si="29"/>
        <v>191.36</v>
      </c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</row>
    <row r="296" spans="1:27" s="60" customFormat="1" ht="30" hidden="1" customHeight="1" x14ac:dyDescent="0.25">
      <c r="A296" s="205" t="s">
        <v>202</v>
      </c>
      <c r="B296" s="163" t="s">
        <v>657</v>
      </c>
      <c r="C296" s="166"/>
      <c r="D296" s="166">
        <f t="shared" ref="D296" si="30">ROUND(C296*1.1,2)</f>
        <v>0</v>
      </c>
      <c r="E296" s="117">
        <f t="shared" si="29"/>
        <v>0</v>
      </c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</row>
    <row r="297" spans="1:27" s="60" customFormat="1" ht="57" customHeight="1" x14ac:dyDescent="0.25">
      <c r="A297" s="205" t="s">
        <v>407</v>
      </c>
      <c r="B297" s="163" t="s">
        <v>32</v>
      </c>
      <c r="C297" s="166"/>
      <c r="D297" s="176">
        <v>140</v>
      </c>
      <c r="E297" s="117">
        <f t="shared" si="29"/>
        <v>145.6</v>
      </c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</row>
    <row r="298" spans="1:27" s="60" customFormat="1" ht="28.5" hidden="1" customHeight="1" x14ac:dyDescent="0.25">
      <c r="A298" s="205" t="s">
        <v>204</v>
      </c>
      <c r="B298" s="163" t="s">
        <v>32</v>
      </c>
      <c r="C298" s="166">
        <v>21.3</v>
      </c>
      <c r="D298" s="103">
        <f>ROUND(C298*1.1,0)</f>
        <v>23</v>
      </c>
      <c r="E298" s="117">
        <f t="shared" si="29"/>
        <v>23.92</v>
      </c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</row>
    <row r="299" spans="1:27" s="60" customFormat="1" ht="24" hidden="1" customHeight="1" x14ac:dyDescent="0.25">
      <c r="A299" s="205" t="s">
        <v>205</v>
      </c>
      <c r="B299" s="163"/>
      <c r="C299" s="166"/>
      <c r="D299" s="166"/>
      <c r="E299" s="117">
        <f t="shared" si="29"/>
        <v>0</v>
      </c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</row>
    <row r="300" spans="1:27" s="60" customFormat="1" ht="32.25" hidden="1" customHeight="1" x14ac:dyDescent="0.25">
      <c r="A300" s="205" t="s">
        <v>206</v>
      </c>
      <c r="B300" s="163" t="s">
        <v>32</v>
      </c>
      <c r="C300" s="166">
        <v>61.01</v>
      </c>
      <c r="D300" s="103">
        <f t="shared" ref="D300:D301" si="31">ROUND(C300*1.1,0)</f>
        <v>67</v>
      </c>
      <c r="E300" s="117">
        <f t="shared" si="29"/>
        <v>69.680000000000007</v>
      </c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</row>
    <row r="301" spans="1:27" s="60" customFormat="1" ht="24" hidden="1" customHeight="1" x14ac:dyDescent="0.25">
      <c r="A301" s="205" t="s">
        <v>207</v>
      </c>
      <c r="B301" s="163" t="s">
        <v>32</v>
      </c>
      <c r="C301" s="166">
        <v>159.75</v>
      </c>
      <c r="D301" s="103">
        <f t="shared" si="31"/>
        <v>176</v>
      </c>
      <c r="E301" s="117">
        <f t="shared" si="29"/>
        <v>183.04000000000002</v>
      </c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</row>
    <row r="302" spans="1:27" s="60" customFormat="1" ht="33.75" customHeight="1" x14ac:dyDescent="0.25">
      <c r="A302" s="205" t="s">
        <v>208</v>
      </c>
      <c r="B302" s="163" t="s">
        <v>32</v>
      </c>
      <c r="C302" s="166">
        <v>213</v>
      </c>
      <c r="D302" s="103">
        <v>253</v>
      </c>
      <c r="E302" s="117">
        <f t="shared" si="29"/>
        <v>263.12</v>
      </c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</row>
    <row r="303" spans="1:27" s="60" customFormat="1" ht="47.25" customHeight="1" x14ac:dyDescent="0.25">
      <c r="A303" s="142" t="s">
        <v>675</v>
      </c>
      <c r="B303" s="163" t="s">
        <v>32</v>
      </c>
      <c r="C303" s="166">
        <v>194</v>
      </c>
      <c r="D303" s="103">
        <v>245</v>
      </c>
      <c r="E303" s="117">
        <f t="shared" si="29"/>
        <v>254.8</v>
      </c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</row>
    <row r="304" spans="1:27" s="60" customFormat="1" ht="45.75" customHeight="1" x14ac:dyDescent="0.25">
      <c r="A304" s="205" t="s">
        <v>209</v>
      </c>
      <c r="B304" s="163" t="s">
        <v>32</v>
      </c>
      <c r="C304" s="166"/>
      <c r="D304" s="176">
        <v>232</v>
      </c>
      <c r="E304" s="117">
        <f t="shared" si="29"/>
        <v>241.28</v>
      </c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</row>
    <row r="305" spans="1:27" s="60" customFormat="1" ht="31.5" hidden="1" customHeight="1" x14ac:dyDescent="0.25">
      <c r="A305" s="205" t="s">
        <v>210</v>
      </c>
      <c r="B305" s="163" t="s">
        <v>32</v>
      </c>
      <c r="C305" s="166">
        <v>159.75</v>
      </c>
      <c r="D305" s="103">
        <f t="shared" ref="D305:D306" si="32">ROUND(C305*1.1,0)</f>
        <v>176</v>
      </c>
      <c r="E305" s="117">
        <f t="shared" si="29"/>
        <v>183.04000000000002</v>
      </c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</row>
    <row r="306" spans="1:27" s="60" customFormat="1" ht="28.5" hidden="1" customHeight="1" x14ac:dyDescent="0.25">
      <c r="A306" s="205" t="s">
        <v>71</v>
      </c>
      <c r="B306" s="163" t="s">
        <v>32</v>
      </c>
      <c r="C306" s="166">
        <v>159.75</v>
      </c>
      <c r="D306" s="103">
        <f t="shared" si="32"/>
        <v>176</v>
      </c>
      <c r="E306" s="117">
        <f t="shared" si="29"/>
        <v>183.04000000000002</v>
      </c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  <c r="AA306" s="40"/>
    </row>
    <row r="307" spans="1:27" s="60" customFormat="1" ht="30.75" hidden="1" customHeight="1" x14ac:dyDescent="0.25">
      <c r="A307" s="205" t="s">
        <v>211</v>
      </c>
      <c r="B307" s="163" t="s">
        <v>32</v>
      </c>
      <c r="C307" s="166">
        <v>200</v>
      </c>
      <c r="D307" s="103">
        <f>ROUND(C307*1.1,0)*1.15</f>
        <v>252.99999999999997</v>
      </c>
      <c r="E307" s="117">
        <f t="shared" si="29"/>
        <v>263.12</v>
      </c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</row>
    <row r="308" spans="1:27" s="60" customFormat="1" ht="57" customHeight="1" x14ac:dyDescent="0.25">
      <c r="A308" s="205" t="s">
        <v>212</v>
      </c>
      <c r="B308" s="163" t="s">
        <v>32</v>
      </c>
      <c r="C308" s="166">
        <v>250</v>
      </c>
      <c r="D308" s="103">
        <v>316</v>
      </c>
      <c r="E308" s="117">
        <f t="shared" si="29"/>
        <v>328.64</v>
      </c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</row>
    <row r="309" spans="1:27" s="60" customFormat="1" ht="24" hidden="1" customHeight="1" x14ac:dyDescent="0.25">
      <c r="A309" s="205" t="s">
        <v>213</v>
      </c>
      <c r="B309" s="163" t="s">
        <v>32</v>
      </c>
      <c r="C309" s="166">
        <v>26.63</v>
      </c>
      <c r="D309" s="103">
        <f t="shared" ref="D309:D310" si="33">ROUND(C309*1.1,0)</f>
        <v>29</v>
      </c>
      <c r="E309" s="117">
        <f t="shared" si="29"/>
        <v>30.16</v>
      </c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</row>
    <row r="310" spans="1:27" s="60" customFormat="1" ht="27" hidden="1" customHeight="1" x14ac:dyDescent="0.25">
      <c r="A310" s="205" t="s">
        <v>214</v>
      </c>
      <c r="B310" s="163" t="s">
        <v>32</v>
      </c>
      <c r="C310" s="166">
        <v>250</v>
      </c>
      <c r="D310" s="103">
        <f t="shared" si="33"/>
        <v>275</v>
      </c>
      <c r="E310" s="117">
        <f t="shared" si="29"/>
        <v>286</v>
      </c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</row>
    <row r="311" spans="1:27" s="60" customFormat="1" ht="86.25" customHeight="1" x14ac:dyDescent="0.25">
      <c r="A311" s="142" t="s">
        <v>676</v>
      </c>
      <c r="B311" s="163" t="s">
        <v>32</v>
      </c>
      <c r="C311" s="166">
        <v>194</v>
      </c>
      <c r="D311" s="103">
        <v>245</v>
      </c>
      <c r="E311" s="117">
        <f t="shared" ref="E311:E318" si="34">D311*1.04</f>
        <v>254.8</v>
      </c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</row>
    <row r="312" spans="1:27" s="60" customFormat="1" ht="38.25" customHeight="1" x14ac:dyDescent="0.25">
      <c r="A312" s="142" t="s">
        <v>677</v>
      </c>
      <c r="B312" s="163" t="s">
        <v>32</v>
      </c>
      <c r="C312" s="166">
        <v>213</v>
      </c>
      <c r="D312" s="103">
        <v>253</v>
      </c>
      <c r="E312" s="117">
        <f t="shared" si="34"/>
        <v>263.12</v>
      </c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</row>
    <row r="313" spans="1:27" s="60" customFormat="1" ht="37.5" customHeight="1" x14ac:dyDescent="0.25">
      <c r="A313" s="142" t="s">
        <v>678</v>
      </c>
      <c r="B313" s="163" t="s">
        <v>32</v>
      </c>
      <c r="C313" s="166">
        <v>119.48710045040144</v>
      </c>
      <c r="D313" s="103">
        <f>275*1.15</f>
        <v>316.25</v>
      </c>
      <c r="E313" s="117">
        <f t="shared" si="34"/>
        <v>328.90000000000003</v>
      </c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</row>
    <row r="314" spans="1:27" s="60" customFormat="1" ht="84" customHeight="1" x14ac:dyDescent="0.25">
      <c r="A314" s="142" t="s">
        <v>679</v>
      </c>
      <c r="B314" s="163" t="s">
        <v>32</v>
      </c>
      <c r="C314" s="166">
        <v>194</v>
      </c>
      <c r="D314" s="103">
        <v>245</v>
      </c>
      <c r="E314" s="117">
        <f t="shared" si="34"/>
        <v>254.8</v>
      </c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</row>
    <row r="315" spans="1:27" s="60" customFormat="1" ht="70.5" customHeight="1" x14ac:dyDescent="0.25">
      <c r="A315" s="142" t="s">
        <v>680</v>
      </c>
      <c r="B315" s="163" t="s">
        <v>32</v>
      </c>
      <c r="C315" s="166">
        <v>213</v>
      </c>
      <c r="D315" s="103">
        <v>253</v>
      </c>
      <c r="E315" s="117">
        <f t="shared" si="34"/>
        <v>263.12</v>
      </c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</row>
    <row r="316" spans="1:27" s="60" customFormat="1" ht="33.75" customHeight="1" x14ac:dyDescent="0.25">
      <c r="A316" s="205" t="s">
        <v>528</v>
      </c>
      <c r="B316" s="163" t="s">
        <v>32</v>
      </c>
      <c r="C316" s="166">
        <v>26.63</v>
      </c>
      <c r="D316" s="103">
        <v>33</v>
      </c>
      <c r="E316" s="117">
        <f t="shared" si="34"/>
        <v>34.32</v>
      </c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</row>
    <row r="317" spans="1:27" s="60" customFormat="1" ht="24" hidden="1" customHeight="1" x14ac:dyDescent="0.25">
      <c r="A317" s="205" t="s">
        <v>218</v>
      </c>
      <c r="B317" s="163" t="s">
        <v>32</v>
      </c>
      <c r="C317" s="166">
        <v>26.63</v>
      </c>
      <c r="D317" s="103">
        <f>ROUND(C317*1.1,0)</f>
        <v>29</v>
      </c>
      <c r="E317" s="117">
        <f t="shared" si="34"/>
        <v>30.16</v>
      </c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</row>
    <row r="318" spans="1:27" s="60" customFormat="1" ht="85.5" customHeight="1" x14ac:dyDescent="0.25">
      <c r="A318" s="142" t="s">
        <v>681</v>
      </c>
      <c r="B318" s="163" t="s">
        <v>32</v>
      </c>
      <c r="C318" s="166">
        <v>194</v>
      </c>
      <c r="D318" s="103">
        <v>245</v>
      </c>
      <c r="E318" s="117">
        <f t="shared" si="34"/>
        <v>254.8</v>
      </c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</row>
    <row r="319" spans="1:27" s="60" customFormat="1" ht="46.5" customHeight="1" x14ac:dyDescent="0.25">
      <c r="A319" s="142" t="s">
        <v>610</v>
      </c>
      <c r="B319" s="163" t="s">
        <v>32</v>
      </c>
      <c r="C319" s="166">
        <v>213</v>
      </c>
      <c r="D319" s="103">
        <v>253</v>
      </c>
      <c r="E319" s="117">
        <f t="shared" ref="E319:E322" si="35">D319*1.04</f>
        <v>263.12</v>
      </c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</row>
    <row r="320" spans="1:27" s="60" customFormat="1" ht="69.75" customHeight="1" x14ac:dyDescent="0.25">
      <c r="A320" s="142" t="s">
        <v>682</v>
      </c>
      <c r="B320" s="163"/>
      <c r="C320" s="166"/>
      <c r="D320" s="166"/>
      <c r="E320" s="176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  <c r="AA320" s="40"/>
    </row>
    <row r="321" spans="1:27" s="60" customFormat="1" ht="24.75" customHeight="1" x14ac:dyDescent="0.25">
      <c r="A321" s="205" t="s">
        <v>218</v>
      </c>
      <c r="B321" s="163" t="s">
        <v>32</v>
      </c>
      <c r="C321" s="166">
        <v>26.63</v>
      </c>
      <c r="D321" s="103">
        <v>29</v>
      </c>
      <c r="E321" s="117">
        <f t="shared" si="35"/>
        <v>30.16</v>
      </c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</row>
    <row r="322" spans="1:27" s="60" customFormat="1" ht="63" customHeight="1" x14ac:dyDescent="0.25">
      <c r="A322" s="205" t="s">
        <v>574</v>
      </c>
      <c r="B322" s="163" t="s">
        <v>32</v>
      </c>
      <c r="C322" s="166">
        <v>159.75</v>
      </c>
      <c r="D322" s="103">
        <v>202</v>
      </c>
      <c r="E322" s="117">
        <f t="shared" si="35"/>
        <v>210.08</v>
      </c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</row>
    <row r="323" spans="1:27" s="60" customFormat="1" ht="109.5" customHeight="1" x14ac:dyDescent="0.25">
      <c r="A323" s="142" t="s">
        <v>683</v>
      </c>
      <c r="B323" s="163" t="s">
        <v>32</v>
      </c>
      <c r="C323" s="166">
        <v>200</v>
      </c>
      <c r="D323" s="103">
        <v>253</v>
      </c>
      <c r="E323" s="117">
        <f>D323*1.04</f>
        <v>263.12</v>
      </c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</row>
    <row r="324" spans="1:27" s="60" customFormat="1" ht="61.5" customHeight="1" x14ac:dyDescent="0.25">
      <c r="A324" s="142" t="s">
        <v>684</v>
      </c>
      <c r="B324" s="163"/>
      <c r="C324" s="166"/>
      <c r="D324" s="166"/>
      <c r="E324" s="176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</row>
    <row r="325" spans="1:27" s="60" customFormat="1" ht="89.25" customHeight="1" x14ac:dyDescent="0.25">
      <c r="A325" s="142" t="s">
        <v>685</v>
      </c>
      <c r="B325" s="163" t="s">
        <v>32</v>
      </c>
      <c r="C325" s="166">
        <v>131</v>
      </c>
      <c r="D325" s="103">
        <v>202</v>
      </c>
      <c r="E325" s="117">
        <f>D325*1.04</f>
        <v>210.08</v>
      </c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</row>
    <row r="326" spans="1:27" s="60" customFormat="1" ht="95.25" customHeight="1" x14ac:dyDescent="0.25">
      <c r="A326" s="142" t="s">
        <v>686</v>
      </c>
      <c r="B326" s="163" t="s">
        <v>32</v>
      </c>
      <c r="C326" s="166">
        <v>213</v>
      </c>
      <c r="D326" s="103">
        <v>253</v>
      </c>
      <c r="E326" s="117">
        <f>D326*1.04</f>
        <v>263.12</v>
      </c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</row>
    <row r="327" spans="1:27" s="60" customFormat="1" ht="67.5" customHeight="1" x14ac:dyDescent="0.25">
      <c r="A327" s="142" t="s">
        <v>687</v>
      </c>
      <c r="B327" s="163"/>
      <c r="C327" s="166"/>
      <c r="D327" s="166"/>
      <c r="E327" s="176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  <c r="AA327" s="40"/>
    </row>
    <row r="328" spans="1:27" s="60" customFormat="1" ht="43.5" hidden="1" customHeight="1" x14ac:dyDescent="0.25">
      <c r="A328" s="205" t="s">
        <v>224</v>
      </c>
      <c r="B328" s="163" t="s">
        <v>32</v>
      </c>
      <c r="C328" s="166">
        <v>10.65</v>
      </c>
      <c r="D328" s="103">
        <f t="shared" ref="D328" si="36">ROUND(C328*1.1,0)</f>
        <v>12</v>
      </c>
      <c r="E328" s="176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</row>
    <row r="329" spans="1:27" s="60" customFormat="1" ht="59.25" customHeight="1" x14ac:dyDescent="0.25">
      <c r="A329" s="210" t="s">
        <v>688</v>
      </c>
      <c r="B329" s="163" t="s">
        <v>32</v>
      </c>
      <c r="C329" s="166">
        <v>159.75</v>
      </c>
      <c r="D329" s="103">
        <v>202</v>
      </c>
      <c r="E329" s="117">
        <f>D329*1.04</f>
        <v>210.08</v>
      </c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</row>
    <row r="330" spans="1:27" s="60" customFormat="1" ht="63.75" customHeight="1" x14ac:dyDescent="0.25">
      <c r="A330" s="142" t="s">
        <v>689</v>
      </c>
      <c r="B330" s="163" t="s">
        <v>32</v>
      </c>
      <c r="C330" s="166">
        <v>194</v>
      </c>
      <c r="D330" s="103">
        <v>245</v>
      </c>
      <c r="E330" s="117">
        <f t="shared" ref="E330:E339" si="37">D330*1.04</f>
        <v>254.8</v>
      </c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  <c r="AA330" s="40"/>
    </row>
    <row r="331" spans="1:27" s="60" customFormat="1" ht="37.5" customHeight="1" x14ac:dyDescent="0.25">
      <c r="A331" s="142" t="s">
        <v>677</v>
      </c>
      <c r="B331" s="163" t="s">
        <v>32</v>
      </c>
      <c r="C331" s="166">
        <v>213</v>
      </c>
      <c r="D331" s="103">
        <v>253</v>
      </c>
      <c r="E331" s="117">
        <f t="shared" si="37"/>
        <v>263.12</v>
      </c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</row>
    <row r="332" spans="1:27" s="60" customFormat="1" ht="66.75" customHeight="1" x14ac:dyDescent="0.25">
      <c r="A332" s="142" t="s">
        <v>690</v>
      </c>
      <c r="B332" s="163" t="s">
        <v>32</v>
      </c>
      <c r="C332" s="166">
        <v>213</v>
      </c>
      <c r="D332" s="103">
        <v>269</v>
      </c>
      <c r="E332" s="117">
        <f t="shared" si="37"/>
        <v>279.76</v>
      </c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  <c r="AA332" s="40"/>
    </row>
    <row r="333" spans="1:27" s="60" customFormat="1" ht="87.75" customHeight="1" x14ac:dyDescent="0.25">
      <c r="A333" s="145" t="s">
        <v>691</v>
      </c>
      <c r="B333" s="163" t="s">
        <v>32</v>
      </c>
      <c r="C333" s="166"/>
      <c r="D333" s="103">
        <v>152</v>
      </c>
      <c r="E333" s="117">
        <f t="shared" si="37"/>
        <v>158.08000000000001</v>
      </c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  <c r="AA333" s="40"/>
    </row>
    <row r="334" spans="1:27" s="60" customFormat="1" ht="84" customHeight="1" x14ac:dyDescent="0.25">
      <c r="A334" s="145" t="s">
        <v>692</v>
      </c>
      <c r="B334" s="163" t="s">
        <v>32</v>
      </c>
      <c r="C334" s="166"/>
      <c r="D334" s="103">
        <v>269</v>
      </c>
      <c r="E334" s="117">
        <f t="shared" si="37"/>
        <v>279.76</v>
      </c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  <c r="AA334" s="40"/>
    </row>
    <row r="335" spans="1:27" s="60" customFormat="1" ht="37.5" customHeight="1" x14ac:dyDescent="0.25">
      <c r="A335" s="145" t="s">
        <v>693</v>
      </c>
      <c r="B335" s="163" t="s">
        <v>32</v>
      </c>
      <c r="C335" s="166"/>
      <c r="D335" s="103">
        <v>127</v>
      </c>
      <c r="E335" s="117">
        <f t="shared" si="37"/>
        <v>132.08000000000001</v>
      </c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</row>
    <row r="336" spans="1:27" s="60" customFormat="1" ht="37.5" customHeight="1" x14ac:dyDescent="0.25">
      <c r="A336" s="145" t="s">
        <v>694</v>
      </c>
      <c r="B336" s="163" t="s">
        <v>699</v>
      </c>
      <c r="C336" s="166"/>
      <c r="D336" s="103">
        <v>14</v>
      </c>
      <c r="E336" s="117">
        <f t="shared" si="37"/>
        <v>14.56</v>
      </c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</row>
    <row r="337" spans="1:27" s="60" customFormat="1" ht="37.5" customHeight="1" x14ac:dyDescent="0.25">
      <c r="A337" s="145" t="s">
        <v>695</v>
      </c>
      <c r="B337" s="163" t="s">
        <v>32</v>
      </c>
      <c r="C337" s="166"/>
      <c r="D337" s="103">
        <v>127</v>
      </c>
      <c r="E337" s="117">
        <f t="shared" si="37"/>
        <v>132.08000000000001</v>
      </c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</row>
    <row r="338" spans="1:27" s="60" customFormat="1" ht="37.5" customHeight="1" x14ac:dyDescent="0.25">
      <c r="A338" s="145" t="s">
        <v>696</v>
      </c>
      <c r="B338" s="163" t="s">
        <v>32</v>
      </c>
      <c r="C338" s="166"/>
      <c r="D338" s="103">
        <v>127</v>
      </c>
      <c r="E338" s="117">
        <f t="shared" si="37"/>
        <v>132.08000000000001</v>
      </c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  <c r="AA338" s="40"/>
    </row>
    <row r="339" spans="1:27" s="60" customFormat="1" ht="37.5" customHeight="1" x14ac:dyDescent="0.25">
      <c r="A339" s="145" t="s">
        <v>697</v>
      </c>
      <c r="B339" s="163" t="s">
        <v>32</v>
      </c>
      <c r="C339" s="166"/>
      <c r="D339" s="103">
        <v>127</v>
      </c>
      <c r="E339" s="117">
        <f t="shared" si="37"/>
        <v>132.08000000000001</v>
      </c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/>
    </row>
    <row r="340" spans="1:27" s="60" customFormat="1" ht="37.5" customHeight="1" x14ac:dyDescent="0.25">
      <c r="A340" s="145" t="s">
        <v>698</v>
      </c>
      <c r="B340" s="163" t="s">
        <v>32</v>
      </c>
      <c r="C340" s="166"/>
      <c r="D340" s="103">
        <v>152</v>
      </c>
      <c r="E340" s="117">
        <f t="shared" ref="E340:E351" si="38">D340*1.04</f>
        <v>158.08000000000001</v>
      </c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</row>
    <row r="341" spans="1:27" s="60" customFormat="1" ht="24" customHeight="1" x14ac:dyDescent="0.25">
      <c r="A341" s="263" t="s">
        <v>73</v>
      </c>
      <c r="B341" s="263"/>
      <c r="C341" s="263"/>
      <c r="D341" s="263"/>
      <c r="E341" s="263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</row>
    <row r="342" spans="1:27" s="60" customFormat="1" ht="37.5" customHeight="1" x14ac:dyDescent="0.25">
      <c r="A342" s="210" t="s">
        <v>411</v>
      </c>
      <c r="B342" s="163" t="s">
        <v>32</v>
      </c>
      <c r="C342" s="166">
        <v>159.75</v>
      </c>
      <c r="D342" s="103">
        <v>202</v>
      </c>
      <c r="E342" s="117">
        <f t="shared" si="38"/>
        <v>210.08</v>
      </c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  <c r="AA342" s="40"/>
    </row>
    <row r="343" spans="1:27" s="60" customFormat="1" ht="45" customHeight="1" x14ac:dyDescent="0.25">
      <c r="A343" s="142" t="s">
        <v>389</v>
      </c>
      <c r="B343" s="163" t="s">
        <v>32</v>
      </c>
      <c r="C343" s="166">
        <v>159.75</v>
      </c>
      <c r="D343" s="103">
        <v>202</v>
      </c>
      <c r="E343" s="117">
        <f t="shared" si="38"/>
        <v>210.08</v>
      </c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</row>
    <row r="344" spans="1:27" s="60" customFormat="1" ht="53.25" customHeight="1" x14ac:dyDescent="0.25">
      <c r="A344" s="210" t="s">
        <v>700</v>
      </c>
      <c r="B344" s="163" t="s">
        <v>32</v>
      </c>
      <c r="C344" s="166">
        <v>159.75</v>
      </c>
      <c r="D344" s="103">
        <v>176</v>
      </c>
      <c r="E344" s="117">
        <f t="shared" si="38"/>
        <v>183.04000000000002</v>
      </c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</row>
    <row r="345" spans="1:27" s="60" customFormat="1" ht="24" customHeight="1" x14ac:dyDescent="0.25">
      <c r="A345" s="263" t="s">
        <v>235</v>
      </c>
      <c r="B345" s="263"/>
      <c r="C345" s="263"/>
      <c r="D345" s="263"/>
      <c r="E345" s="263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</row>
    <row r="346" spans="1:27" s="60" customFormat="1" ht="53.25" customHeight="1" x14ac:dyDescent="0.25">
      <c r="A346" s="142" t="s">
        <v>538</v>
      </c>
      <c r="B346" s="163" t="s">
        <v>32</v>
      </c>
      <c r="C346" s="166">
        <v>159.75</v>
      </c>
      <c r="D346" s="103">
        <v>202</v>
      </c>
      <c r="E346" s="117">
        <f t="shared" si="38"/>
        <v>210.08</v>
      </c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</row>
    <row r="347" spans="1:27" s="60" customFormat="1" ht="71.25" customHeight="1" x14ac:dyDescent="0.25">
      <c r="A347" s="210" t="s">
        <v>701</v>
      </c>
      <c r="B347" s="163" t="s">
        <v>32</v>
      </c>
      <c r="C347" s="166">
        <v>159.75</v>
      </c>
      <c r="D347" s="103">
        <v>202</v>
      </c>
      <c r="E347" s="117">
        <f t="shared" si="38"/>
        <v>210.08</v>
      </c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</row>
    <row r="348" spans="1:27" s="60" customFormat="1" ht="71.25" customHeight="1" x14ac:dyDescent="0.25">
      <c r="A348" s="210" t="s">
        <v>702</v>
      </c>
      <c r="B348" s="163" t="s">
        <v>32</v>
      </c>
      <c r="C348" s="166"/>
      <c r="D348" s="103">
        <v>202</v>
      </c>
      <c r="E348" s="117">
        <f t="shared" si="38"/>
        <v>210.08</v>
      </c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</row>
    <row r="349" spans="1:27" s="60" customFormat="1" ht="56.25" customHeight="1" x14ac:dyDescent="0.25">
      <c r="A349" s="213" t="s">
        <v>703</v>
      </c>
      <c r="B349" s="163" t="s">
        <v>32</v>
      </c>
      <c r="C349" s="166"/>
      <c r="D349" s="103">
        <v>498</v>
      </c>
      <c r="E349" s="117">
        <f t="shared" si="38"/>
        <v>517.92000000000007</v>
      </c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</row>
    <row r="350" spans="1:27" s="60" customFormat="1" ht="120" customHeight="1" x14ac:dyDescent="0.25">
      <c r="A350" s="142" t="s">
        <v>704</v>
      </c>
      <c r="B350" s="163" t="s">
        <v>32</v>
      </c>
      <c r="C350" s="166">
        <v>213</v>
      </c>
      <c r="D350" s="103">
        <v>202</v>
      </c>
      <c r="E350" s="117">
        <f t="shared" si="38"/>
        <v>210.08</v>
      </c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</row>
    <row r="351" spans="1:27" s="60" customFormat="1" ht="63.75" customHeight="1" x14ac:dyDescent="0.25">
      <c r="A351" s="142" t="s">
        <v>703</v>
      </c>
      <c r="B351" s="163" t="s">
        <v>32</v>
      </c>
      <c r="C351" s="166"/>
      <c r="D351" s="103">
        <v>498</v>
      </c>
      <c r="E351" s="117">
        <f t="shared" si="38"/>
        <v>517.92000000000007</v>
      </c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</row>
    <row r="352" spans="1:27" s="60" customFormat="1" ht="152.25" customHeight="1" x14ac:dyDescent="0.25">
      <c r="A352" s="142" t="s">
        <v>705</v>
      </c>
      <c r="B352" s="163" t="s">
        <v>32</v>
      </c>
      <c r="C352" s="166"/>
      <c r="D352" s="103">
        <v>202</v>
      </c>
      <c r="E352" s="117">
        <f t="shared" ref="E352" si="39">D352*1.04</f>
        <v>210.08</v>
      </c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</row>
    <row r="353" spans="1:27" s="60" customFormat="1" ht="24" hidden="1" customHeight="1" x14ac:dyDescent="0.25">
      <c r="A353" s="263" t="s">
        <v>244</v>
      </c>
      <c r="B353" s="263"/>
      <c r="C353" s="263"/>
      <c r="D353" s="263"/>
      <c r="E353" s="187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</row>
    <row r="354" spans="1:27" s="60" customFormat="1" ht="124.5" hidden="1" customHeight="1" x14ac:dyDescent="0.25">
      <c r="A354" s="205" t="s">
        <v>260</v>
      </c>
      <c r="B354" s="61" t="s">
        <v>246</v>
      </c>
      <c r="C354" s="166">
        <v>387</v>
      </c>
      <c r="D354" s="103">
        <f t="shared" ref="D354" si="40">ROUND(C354*1.1,0)</f>
        <v>426</v>
      </c>
      <c r="E354" s="176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</row>
    <row r="355" spans="1:27" s="60" customFormat="1" ht="24" customHeight="1" x14ac:dyDescent="0.25">
      <c r="A355" s="263" t="s">
        <v>422</v>
      </c>
      <c r="B355" s="263"/>
      <c r="C355" s="263"/>
      <c r="D355" s="263"/>
      <c r="E355" s="263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</row>
    <row r="356" spans="1:27" s="60" customFormat="1" ht="49.5" customHeight="1" x14ac:dyDescent="0.25">
      <c r="A356" s="142" t="s">
        <v>706</v>
      </c>
      <c r="B356" s="163" t="s">
        <v>32</v>
      </c>
      <c r="C356" s="166"/>
      <c r="D356" s="103">
        <v>202</v>
      </c>
      <c r="E356" s="117">
        <f t="shared" ref="E356:E363" si="41">D356*1.04</f>
        <v>210.08</v>
      </c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</row>
    <row r="357" spans="1:27" s="60" customFormat="1" ht="78" customHeight="1" x14ac:dyDescent="0.25">
      <c r="A357" s="142" t="s">
        <v>707</v>
      </c>
      <c r="B357" s="163" t="s">
        <v>32</v>
      </c>
      <c r="C357" s="166"/>
      <c r="D357" s="103">
        <v>202</v>
      </c>
      <c r="E357" s="117">
        <f t="shared" si="41"/>
        <v>210.08</v>
      </c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</row>
    <row r="358" spans="1:27" s="60" customFormat="1" ht="24" customHeight="1" x14ac:dyDescent="0.25">
      <c r="A358" s="263" t="s">
        <v>75</v>
      </c>
      <c r="B358" s="263"/>
      <c r="C358" s="263"/>
      <c r="D358" s="263"/>
      <c r="E358" s="263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  <c r="AA358" s="40"/>
    </row>
    <row r="359" spans="1:27" s="60" customFormat="1" ht="201" customHeight="1" x14ac:dyDescent="0.25">
      <c r="A359" s="142" t="s">
        <v>708</v>
      </c>
      <c r="B359" s="163" t="s">
        <v>32</v>
      </c>
      <c r="C359" s="166">
        <v>106.5</v>
      </c>
      <c r="D359" s="103">
        <v>135</v>
      </c>
      <c r="E359" s="117">
        <f t="shared" si="41"/>
        <v>140.4</v>
      </c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</row>
    <row r="360" spans="1:27" s="60" customFormat="1" ht="48" customHeight="1" x14ac:dyDescent="0.25">
      <c r="A360" s="142" t="s">
        <v>413</v>
      </c>
      <c r="B360" s="163" t="s">
        <v>32</v>
      </c>
      <c r="C360" s="166">
        <v>106.5</v>
      </c>
      <c r="D360" s="103">
        <v>135</v>
      </c>
      <c r="E360" s="117">
        <f t="shared" si="41"/>
        <v>140.4</v>
      </c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</row>
    <row r="361" spans="1:27" s="60" customFormat="1" ht="65.25" customHeight="1" x14ac:dyDescent="0.25">
      <c r="A361" s="280" t="s">
        <v>443</v>
      </c>
      <c r="B361" s="280"/>
      <c r="C361" s="280"/>
      <c r="D361" s="280"/>
      <c r="E361" s="28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</row>
    <row r="362" spans="1:27" s="60" customFormat="1" ht="105" customHeight="1" x14ac:dyDescent="0.25">
      <c r="A362" s="142" t="s">
        <v>709</v>
      </c>
      <c r="B362" s="163" t="s">
        <v>32</v>
      </c>
      <c r="C362" s="166"/>
      <c r="D362" s="103">
        <v>269</v>
      </c>
      <c r="E362" s="117">
        <f t="shared" si="41"/>
        <v>279.76</v>
      </c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</row>
    <row r="363" spans="1:27" s="60" customFormat="1" ht="84.75" customHeight="1" x14ac:dyDescent="0.25">
      <c r="A363" s="142" t="s">
        <v>710</v>
      </c>
      <c r="B363" s="163" t="s">
        <v>32</v>
      </c>
      <c r="C363" s="166"/>
      <c r="D363" s="103">
        <v>269</v>
      </c>
      <c r="E363" s="117">
        <f t="shared" si="41"/>
        <v>279.76</v>
      </c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</row>
    <row r="364" spans="1:27" ht="111.75" customHeight="1" x14ac:dyDescent="0.2">
      <c r="A364" s="278" t="s">
        <v>768</v>
      </c>
      <c r="B364" s="278"/>
      <c r="C364" s="278"/>
      <c r="D364" s="278"/>
      <c r="E364" s="278"/>
    </row>
    <row r="365" spans="1:27" ht="77.25" customHeight="1" x14ac:dyDescent="0.2">
      <c r="A365" s="278" t="s">
        <v>769</v>
      </c>
      <c r="B365" s="278"/>
      <c r="C365" s="278"/>
      <c r="D365" s="278"/>
      <c r="E365" s="278"/>
    </row>
    <row r="366" spans="1:27" ht="15.75" x14ac:dyDescent="0.25">
      <c r="A366" s="259" t="s">
        <v>78</v>
      </c>
      <c r="B366" s="259"/>
      <c r="C366" s="259"/>
      <c r="D366" s="259"/>
      <c r="E366" s="259"/>
    </row>
    <row r="367" spans="1:27" ht="42.75" x14ac:dyDescent="0.2">
      <c r="A367" s="214" t="s">
        <v>458</v>
      </c>
      <c r="B367" s="84" t="s">
        <v>113</v>
      </c>
      <c r="C367" s="84">
        <v>132.01</v>
      </c>
      <c r="D367" s="105">
        <v>167</v>
      </c>
      <c r="E367" s="117">
        <f t="shared" ref="E367:E369" si="42">D367*1.04</f>
        <v>173.68</v>
      </c>
    </row>
    <row r="368" spans="1:27" ht="63.75" x14ac:dyDescent="0.2">
      <c r="A368" s="93" t="s">
        <v>459</v>
      </c>
      <c r="B368" s="94" t="s">
        <v>133</v>
      </c>
      <c r="C368" s="84">
        <v>150.02000000000001</v>
      </c>
      <c r="D368" s="105">
        <v>190</v>
      </c>
      <c r="E368" s="117">
        <f t="shared" si="42"/>
        <v>197.6</v>
      </c>
    </row>
    <row r="369" spans="1:28" ht="71.25" x14ac:dyDescent="0.2">
      <c r="A369" s="93" t="s">
        <v>460</v>
      </c>
      <c r="B369" s="84"/>
      <c r="C369" s="84"/>
      <c r="D369" s="179">
        <v>804</v>
      </c>
      <c r="E369" s="117">
        <f t="shared" si="42"/>
        <v>836.16000000000008</v>
      </c>
      <c r="AB369" s="71"/>
    </row>
    <row r="370" spans="1:28" ht="15" hidden="1" customHeight="1" x14ac:dyDescent="0.2">
      <c r="A370" s="95" t="s">
        <v>345</v>
      </c>
      <c r="B370" s="84" t="s">
        <v>138</v>
      </c>
      <c r="C370" s="84"/>
      <c r="D370" s="84">
        <f t="shared" ref="D370:D385" si="43">ROUND(C370*1.1,2)</f>
        <v>0</v>
      </c>
      <c r="E370" s="179"/>
    </row>
    <row r="371" spans="1:28" ht="15" hidden="1" customHeight="1" x14ac:dyDescent="0.2">
      <c r="A371" s="95" t="s">
        <v>346</v>
      </c>
      <c r="B371" s="84" t="s">
        <v>138</v>
      </c>
      <c r="C371" s="84"/>
      <c r="D371" s="84">
        <f t="shared" si="43"/>
        <v>0</v>
      </c>
      <c r="E371" s="179"/>
    </row>
    <row r="372" spans="1:28" ht="15" hidden="1" customHeight="1" x14ac:dyDescent="0.2">
      <c r="A372" s="95" t="s">
        <v>347</v>
      </c>
      <c r="B372" s="84" t="s">
        <v>138</v>
      </c>
      <c r="C372" s="84"/>
      <c r="D372" s="84">
        <f t="shared" si="43"/>
        <v>0</v>
      </c>
      <c r="E372" s="179"/>
    </row>
    <row r="373" spans="1:28" ht="15" hidden="1" customHeight="1" x14ac:dyDescent="0.2">
      <c r="A373" s="95" t="s">
        <v>348</v>
      </c>
      <c r="B373" s="84" t="s">
        <v>138</v>
      </c>
      <c r="C373" s="84"/>
      <c r="D373" s="84">
        <f t="shared" si="43"/>
        <v>0</v>
      </c>
      <c r="E373" s="179"/>
    </row>
    <row r="374" spans="1:28" ht="15" hidden="1" customHeight="1" x14ac:dyDescent="0.2">
      <c r="A374" s="95" t="s">
        <v>357</v>
      </c>
      <c r="B374" s="84" t="s">
        <v>138</v>
      </c>
      <c r="C374" s="84"/>
      <c r="D374" s="84">
        <f t="shared" si="43"/>
        <v>0</v>
      </c>
      <c r="E374" s="179"/>
    </row>
    <row r="375" spans="1:28" ht="15" hidden="1" customHeight="1" x14ac:dyDescent="0.2">
      <c r="A375" s="95" t="s">
        <v>350</v>
      </c>
      <c r="B375" s="84" t="s">
        <v>138</v>
      </c>
      <c r="C375" s="84"/>
      <c r="D375" s="84">
        <f t="shared" si="43"/>
        <v>0</v>
      </c>
      <c r="E375" s="179"/>
    </row>
    <row r="376" spans="1:28" ht="15" hidden="1" customHeight="1" x14ac:dyDescent="0.2">
      <c r="A376" s="95" t="s">
        <v>351</v>
      </c>
      <c r="B376" s="84" t="s">
        <v>138</v>
      </c>
      <c r="C376" s="84"/>
      <c r="D376" s="84">
        <f t="shared" si="43"/>
        <v>0</v>
      </c>
      <c r="E376" s="179"/>
    </row>
    <row r="377" spans="1:28" ht="15" hidden="1" customHeight="1" x14ac:dyDescent="0.2">
      <c r="A377" s="95" t="s">
        <v>358</v>
      </c>
      <c r="B377" s="84" t="s">
        <v>138</v>
      </c>
      <c r="C377" s="84"/>
      <c r="D377" s="84">
        <f t="shared" si="43"/>
        <v>0</v>
      </c>
      <c r="E377" s="179"/>
    </row>
    <row r="378" spans="1:28" ht="15" hidden="1" customHeight="1" x14ac:dyDescent="0.2">
      <c r="A378" s="95" t="s">
        <v>359</v>
      </c>
      <c r="B378" s="84" t="s">
        <v>138</v>
      </c>
      <c r="C378" s="84"/>
      <c r="D378" s="84">
        <f t="shared" si="43"/>
        <v>0</v>
      </c>
      <c r="E378" s="179"/>
    </row>
    <row r="379" spans="1:28" ht="15" hidden="1" customHeight="1" x14ac:dyDescent="0.2">
      <c r="A379" s="95" t="s">
        <v>354</v>
      </c>
      <c r="B379" s="84" t="s">
        <v>138</v>
      </c>
      <c r="C379" s="84"/>
      <c r="D379" s="84">
        <f t="shared" si="43"/>
        <v>0</v>
      </c>
      <c r="E379" s="179"/>
    </row>
    <row r="380" spans="1:28" ht="15" hidden="1" customHeight="1" x14ac:dyDescent="0.2">
      <c r="A380" s="95" t="s">
        <v>355</v>
      </c>
      <c r="B380" s="84" t="s">
        <v>138</v>
      </c>
      <c r="C380" s="84"/>
      <c r="D380" s="84">
        <f t="shared" si="43"/>
        <v>0</v>
      </c>
      <c r="E380" s="179"/>
    </row>
    <row r="381" spans="1:28" ht="15" hidden="1" customHeight="1" x14ac:dyDescent="0.2">
      <c r="A381" s="95" t="s">
        <v>360</v>
      </c>
      <c r="B381" s="84" t="s">
        <v>138</v>
      </c>
      <c r="C381" s="84"/>
      <c r="D381" s="84">
        <f t="shared" si="43"/>
        <v>0</v>
      </c>
      <c r="E381" s="179"/>
    </row>
    <row r="382" spans="1:28" ht="87.75" customHeight="1" x14ac:dyDescent="0.2">
      <c r="A382" s="93" t="s">
        <v>577</v>
      </c>
      <c r="B382" s="84"/>
      <c r="C382" s="84"/>
      <c r="D382" s="84"/>
      <c r="E382" s="179"/>
    </row>
    <row r="383" spans="1:28" x14ac:dyDescent="0.2">
      <c r="A383" s="95" t="s">
        <v>462</v>
      </c>
      <c r="B383" s="84" t="s">
        <v>32</v>
      </c>
      <c r="C383" s="84">
        <v>76.52</v>
      </c>
      <c r="D383" s="105">
        <v>97</v>
      </c>
      <c r="E383" s="117">
        <f t="shared" ref="E383" si="44">D383*1.04</f>
        <v>100.88000000000001</v>
      </c>
    </row>
    <row r="384" spans="1:28" ht="15" hidden="1" customHeight="1" x14ac:dyDescent="0.2">
      <c r="A384" s="95" t="s">
        <v>163</v>
      </c>
      <c r="B384" s="84" t="s">
        <v>32</v>
      </c>
      <c r="C384" s="84"/>
      <c r="D384" s="84">
        <f t="shared" si="43"/>
        <v>0</v>
      </c>
      <c r="E384" s="179"/>
    </row>
    <row r="385" spans="1:28" ht="15" hidden="1" customHeight="1" x14ac:dyDescent="0.2">
      <c r="A385" s="95" t="s">
        <v>266</v>
      </c>
      <c r="B385" s="84" t="s">
        <v>32</v>
      </c>
      <c r="C385" s="84"/>
      <c r="D385" s="84">
        <f t="shared" si="43"/>
        <v>0</v>
      </c>
      <c r="E385" s="179"/>
    </row>
    <row r="386" spans="1:28" x14ac:dyDescent="0.2">
      <c r="A386" s="95" t="s">
        <v>165</v>
      </c>
      <c r="B386" s="84"/>
      <c r="C386" s="84"/>
      <c r="D386" s="84"/>
      <c r="E386" s="179"/>
    </row>
    <row r="387" spans="1:28" x14ac:dyDescent="0.2">
      <c r="A387" s="95" t="s">
        <v>463</v>
      </c>
      <c r="B387" s="84" t="s">
        <v>32</v>
      </c>
      <c r="C387" s="84">
        <v>83.41</v>
      </c>
      <c r="D387" s="105">
        <v>106</v>
      </c>
      <c r="E387" s="117">
        <f t="shared" ref="E387:E390" si="45">D387*1.04</f>
        <v>110.24000000000001</v>
      </c>
    </row>
    <row r="388" spans="1:28" x14ac:dyDescent="0.2">
      <c r="A388" s="96" t="s">
        <v>461</v>
      </c>
      <c r="B388" s="84" t="s">
        <v>451</v>
      </c>
      <c r="C388" s="84"/>
      <c r="D388" s="105">
        <v>106</v>
      </c>
      <c r="E388" s="117">
        <f t="shared" si="45"/>
        <v>110.24000000000001</v>
      </c>
    </row>
    <row r="389" spans="1:28" x14ac:dyDescent="0.2">
      <c r="A389" s="96" t="s">
        <v>464</v>
      </c>
      <c r="B389" s="84" t="s">
        <v>451</v>
      </c>
      <c r="C389" s="166"/>
      <c r="D389" s="103">
        <v>40</v>
      </c>
      <c r="E389" s="117">
        <f t="shared" si="45"/>
        <v>41.6</v>
      </c>
      <c r="AB389" s="82"/>
    </row>
    <row r="390" spans="1:28" x14ac:dyDescent="0.2">
      <c r="A390" s="96" t="s">
        <v>465</v>
      </c>
      <c r="B390" s="84" t="s">
        <v>451</v>
      </c>
      <c r="C390" s="166"/>
      <c r="D390" s="103">
        <v>106</v>
      </c>
      <c r="E390" s="117">
        <f t="shared" si="45"/>
        <v>110.24000000000001</v>
      </c>
    </row>
    <row r="391" spans="1:28" x14ac:dyDescent="0.2">
      <c r="A391" s="96" t="s">
        <v>466</v>
      </c>
      <c r="B391" s="84" t="s">
        <v>451</v>
      </c>
      <c r="C391" s="166"/>
      <c r="D391" s="103">
        <v>38</v>
      </c>
      <c r="E391" s="117">
        <f t="shared" ref="E391:E398" si="46">D391*1.04</f>
        <v>39.520000000000003</v>
      </c>
    </row>
    <row r="392" spans="1:28" ht="142.5" x14ac:dyDescent="0.2">
      <c r="A392" s="93" t="s">
        <v>578</v>
      </c>
      <c r="B392" s="84" t="s">
        <v>32</v>
      </c>
      <c r="C392" s="84">
        <v>116.19</v>
      </c>
      <c r="D392" s="105">
        <v>147</v>
      </c>
      <c r="E392" s="117">
        <f t="shared" si="46"/>
        <v>152.88</v>
      </c>
    </row>
    <row r="393" spans="1:28" ht="114" x14ac:dyDescent="0.2">
      <c r="A393" s="93" t="s">
        <v>579</v>
      </c>
      <c r="B393" s="84" t="s">
        <v>32</v>
      </c>
      <c r="C393" s="84">
        <v>296.12</v>
      </c>
      <c r="D393" s="105">
        <v>375</v>
      </c>
      <c r="E393" s="117">
        <f t="shared" si="46"/>
        <v>390</v>
      </c>
    </row>
    <row r="394" spans="1:28" ht="15" hidden="1" customHeight="1" x14ac:dyDescent="0.2">
      <c r="A394" s="95" t="s">
        <v>267</v>
      </c>
      <c r="B394" s="84"/>
      <c r="C394" s="84"/>
      <c r="D394" s="105">
        <f t="shared" ref="D394:D395" si="47">ROUND(C394*1.1,0)</f>
        <v>0</v>
      </c>
      <c r="E394" s="117">
        <f t="shared" si="46"/>
        <v>0</v>
      </c>
    </row>
    <row r="395" spans="1:28" ht="15" hidden="1" customHeight="1" x14ac:dyDescent="0.2">
      <c r="A395" s="95" t="s">
        <v>268</v>
      </c>
      <c r="B395" s="84"/>
      <c r="C395" s="84"/>
      <c r="D395" s="105">
        <f t="shared" si="47"/>
        <v>0</v>
      </c>
      <c r="E395" s="117">
        <f t="shared" si="46"/>
        <v>0</v>
      </c>
    </row>
    <row r="396" spans="1:28" ht="26.25" customHeight="1" x14ac:dyDescent="0.2">
      <c r="A396" s="96" t="s">
        <v>468</v>
      </c>
      <c r="B396" s="76" t="s">
        <v>32</v>
      </c>
      <c r="C396" s="84"/>
      <c r="D396" s="103">
        <v>26</v>
      </c>
      <c r="E396" s="117">
        <f t="shared" si="46"/>
        <v>27.04</v>
      </c>
    </row>
    <row r="397" spans="1:28" ht="124.5" customHeight="1" x14ac:dyDescent="0.2">
      <c r="A397" s="93" t="s">
        <v>580</v>
      </c>
      <c r="B397" s="76" t="s">
        <v>32</v>
      </c>
      <c r="C397" s="84"/>
      <c r="D397" s="103">
        <v>21</v>
      </c>
      <c r="E397" s="117">
        <f t="shared" si="46"/>
        <v>21.84</v>
      </c>
      <c r="AB397" s="98"/>
    </row>
    <row r="398" spans="1:28" ht="63.75" hidden="1" customHeight="1" x14ac:dyDescent="0.2">
      <c r="A398" s="93" t="s">
        <v>469</v>
      </c>
      <c r="B398" s="84"/>
      <c r="C398" s="84"/>
      <c r="D398" s="108" t="s">
        <v>467</v>
      </c>
      <c r="E398" s="117" t="e">
        <f t="shared" si="46"/>
        <v>#VALUE!</v>
      </c>
      <c r="AB398" s="82" t="s">
        <v>587</v>
      </c>
    </row>
    <row r="399" spans="1:28" ht="97.5" customHeight="1" x14ac:dyDescent="0.2">
      <c r="A399" s="93" t="s">
        <v>470</v>
      </c>
      <c r="B399" s="158" t="s">
        <v>760</v>
      </c>
      <c r="C399" s="84"/>
      <c r="D399" s="180">
        <v>599</v>
      </c>
      <c r="E399" s="117">
        <f>D399*1.04</f>
        <v>622.96</v>
      </c>
      <c r="AB399" s="82"/>
    </row>
    <row r="400" spans="1:28" ht="27.75" hidden="1" customHeight="1" x14ac:dyDescent="0.25">
      <c r="A400" s="215" t="s">
        <v>471</v>
      </c>
      <c r="B400" s="84"/>
      <c r="C400" s="84"/>
      <c r="D400" s="105">
        <f>30*1.15</f>
        <v>34.5</v>
      </c>
      <c r="E400" s="179"/>
    </row>
    <row r="401" spans="1:28" ht="32.25" hidden="1" customHeight="1" x14ac:dyDescent="0.25">
      <c r="A401" s="215" t="s">
        <v>472</v>
      </c>
      <c r="B401" s="84"/>
      <c r="C401" s="84"/>
      <c r="D401" s="105">
        <f>401*1.15</f>
        <v>461.15</v>
      </c>
      <c r="E401" s="179"/>
    </row>
    <row r="402" spans="1:28" ht="21" hidden="1" customHeight="1" x14ac:dyDescent="0.25">
      <c r="A402" s="215" t="s">
        <v>473</v>
      </c>
      <c r="B402" s="84"/>
      <c r="C402" s="84"/>
      <c r="D402" s="105">
        <f>61*1.15</f>
        <v>70.149999999999991</v>
      </c>
      <c r="E402" s="179"/>
    </row>
    <row r="403" spans="1:28" ht="19.5" hidden="1" customHeight="1" x14ac:dyDescent="0.25">
      <c r="A403" s="215" t="s">
        <v>474</v>
      </c>
      <c r="B403" s="84"/>
      <c r="C403" s="84"/>
      <c r="D403" s="105">
        <f>29*1.15</f>
        <v>33.349999999999994</v>
      </c>
      <c r="E403" s="179"/>
    </row>
    <row r="404" spans="1:28" ht="15.75" x14ac:dyDescent="0.25">
      <c r="A404" s="279" t="s">
        <v>91</v>
      </c>
      <c r="B404" s="279"/>
      <c r="C404" s="279"/>
      <c r="D404" s="279"/>
      <c r="E404" s="279"/>
    </row>
    <row r="405" spans="1:28" ht="30" x14ac:dyDescent="0.2">
      <c r="A405" s="95" t="s">
        <v>186</v>
      </c>
      <c r="B405" s="84" t="s">
        <v>32</v>
      </c>
      <c r="C405" s="84">
        <v>148.06</v>
      </c>
      <c r="D405" s="105">
        <v>24</v>
      </c>
      <c r="E405" s="117">
        <f t="shared" ref="E405:E408" si="48">D405*1.04</f>
        <v>24.96</v>
      </c>
    </row>
    <row r="406" spans="1:28" x14ac:dyDescent="0.2">
      <c r="A406" s="96" t="s">
        <v>450</v>
      </c>
      <c r="B406" s="84" t="s">
        <v>32</v>
      </c>
      <c r="C406" s="84">
        <v>98.71</v>
      </c>
      <c r="D406" s="105">
        <v>125</v>
      </c>
      <c r="E406" s="117">
        <f t="shared" si="48"/>
        <v>130</v>
      </c>
    </row>
    <row r="407" spans="1:28" ht="270.75" x14ac:dyDescent="0.2">
      <c r="A407" s="93" t="s">
        <v>581</v>
      </c>
      <c r="B407" s="84" t="s">
        <v>32</v>
      </c>
      <c r="C407" s="84">
        <v>324.51</v>
      </c>
      <c r="D407" s="105">
        <v>411</v>
      </c>
      <c r="E407" s="117">
        <f t="shared" si="48"/>
        <v>427.44</v>
      </c>
    </row>
    <row r="408" spans="1:28" ht="142.5" x14ac:dyDescent="0.2">
      <c r="A408" s="93" t="s">
        <v>582</v>
      </c>
      <c r="B408" s="76" t="s">
        <v>32</v>
      </c>
      <c r="C408" s="84">
        <v>98.92</v>
      </c>
      <c r="D408" s="105">
        <v>125</v>
      </c>
      <c r="E408" s="117">
        <f t="shared" si="48"/>
        <v>130</v>
      </c>
    </row>
    <row r="409" spans="1:28" ht="123.75" customHeight="1" x14ac:dyDescent="0.2">
      <c r="A409" s="93" t="s">
        <v>475</v>
      </c>
      <c r="B409" s="76" t="s">
        <v>718</v>
      </c>
      <c r="C409" s="84"/>
      <c r="D409" s="105">
        <v>125</v>
      </c>
      <c r="E409" s="117">
        <f t="shared" ref="E409:E416" si="49">D409*1.04</f>
        <v>130</v>
      </c>
    </row>
    <row r="410" spans="1:28" ht="142.5" x14ac:dyDescent="0.2">
      <c r="A410" s="110" t="s">
        <v>711</v>
      </c>
      <c r="B410" s="166" t="s">
        <v>32</v>
      </c>
      <c r="C410" s="166"/>
      <c r="D410" s="103">
        <v>33</v>
      </c>
      <c r="E410" s="117">
        <f t="shared" si="49"/>
        <v>34.32</v>
      </c>
      <c r="AB410" s="98"/>
    </row>
    <row r="411" spans="1:28" ht="36" customHeight="1" x14ac:dyDescent="0.2">
      <c r="A411" s="96" t="s">
        <v>453</v>
      </c>
      <c r="B411" s="84" t="s">
        <v>32</v>
      </c>
      <c r="C411" s="84">
        <v>105.13</v>
      </c>
      <c r="D411" s="105">
        <v>133</v>
      </c>
      <c r="E411" s="117">
        <f t="shared" si="49"/>
        <v>138.32</v>
      </c>
    </row>
    <row r="412" spans="1:28" ht="114" x14ac:dyDescent="0.2">
      <c r="A412" s="93" t="s">
        <v>583</v>
      </c>
      <c r="B412" s="84" t="s">
        <v>32</v>
      </c>
      <c r="C412" s="84">
        <v>148.41</v>
      </c>
      <c r="D412" s="105">
        <v>187</v>
      </c>
      <c r="E412" s="117">
        <f t="shared" si="49"/>
        <v>194.48000000000002</v>
      </c>
    </row>
    <row r="413" spans="1:28" ht="85.5" x14ac:dyDescent="0.2">
      <c r="A413" s="93" t="s">
        <v>477</v>
      </c>
      <c r="B413" s="84" t="s">
        <v>32</v>
      </c>
      <c r="C413" s="84">
        <v>162.26</v>
      </c>
      <c r="D413" s="105">
        <v>178</v>
      </c>
      <c r="E413" s="117">
        <f t="shared" si="49"/>
        <v>185.12</v>
      </c>
    </row>
    <row r="414" spans="1:28" ht="57" x14ac:dyDescent="0.2">
      <c r="A414" s="93" t="s">
        <v>476</v>
      </c>
      <c r="B414" s="84" t="s">
        <v>32</v>
      </c>
      <c r="C414" s="84">
        <v>162.26</v>
      </c>
      <c r="D414" s="105">
        <v>178</v>
      </c>
      <c r="E414" s="117">
        <f t="shared" si="49"/>
        <v>185.12</v>
      </c>
    </row>
    <row r="415" spans="1:28" ht="100.5" x14ac:dyDescent="0.2">
      <c r="A415" s="93" t="s">
        <v>584</v>
      </c>
      <c r="B415" s="84" t="s">
        <v>32</v>
      </c>
      <c r="C415" s="84">
        <v>296.12</v>
      </c>
      <c r="D415" s="105">
        <v>375</v>
      </c>
      <c r="E415" s="117">
        <f t="shared" si="49"/>
        <v>390</v>
      </c>
      <c r="AB415" s="98"/>
    </row>
    <row r="416" spans="1:28" ht="171" x14ac:dyDescent="0.2">
      <c r="A416" s="93" t="s">
        <v>585</v>
      </c>
      <c r="B416" s="84" t="s">
        <v>32</v>
      </c>
      <c r="C416" s="84"/>
      <c r="D416" s="103">
        <v>229</v>
      </c>
      <c r="E416" s="117">
        <f t="shared" si="49"/>
        <v>238.16</v>
      </c>
      <c r="AB416" s="98"/>
    </row>
    <row r="417" spans="1:28" ht="57" x14ac:dyDescent="0.2">
      <c r="A417" s="216" t="s">
        <v>478</v>
      </c>
      <c r="B417" s="84" t="s">
        <v>32</v>
      </c>
      <c r="C417" s="84"/>
      <c r="D417" s="103">
        <v>135</v>
      </c>
      <c r="E417" s="117">
        <f t="shared" ref="E417:E429" si="50">D417*1.04</f>
        <v>140.4</v>
      </c>
      <c r="AB417" s="99"/>
    </row>
    <row r="418" spans="1:28" ht="15.75" x14ac:dyDescent="0.25">
      <c r="A418" s="279" t="s">
        <v>73</v>
      </c>
      <c r="B418" s="279"/>
      <c r="C418" s="279"/>
      <c r="D418" s="279"/>
      <c r="E418" s="279"/>
    </row>
    <row r="419" spans="1:28" ht="105" x14ac:dyDescent="0.2">
      <c r="A419" s="95" t="s">
        <v>586</v>
      </c>
      <c r="B419" s="84" t="s">
        <v>32</v>
      </c>
      <c r="C419" s="84">
        <v>241.05</v>
      </c>
      <c r="D419" s="105">
        <v>305</v>
      </c>
      <c r="E419" s="117">
        <f t="shared" si="50"/>
        <v>317.2</v>
      </c>
    </row>
    <row r="420" spans="1:28" ht="15" hidden="1" customHeight="1" x14ac:dyDescent="0.2">
      <c r="A420" s="95" t="s">
        <v>272</v>
      </c>
      <c r="B420" s="84" t="s">
        <v>32</v>
      </c>
      <c r="C420" s="84"/>
      <c r="D420" s="105">
        <f t="shared" ref="D420:D427" si="51">ROUND(C420*1.1,0)</f>
        <v>0</v>
      </c>
      <c r="E420" s="117">
        <f t="shared" si="50"/>
        <v>0</v>
      </c>
    </row>
    <row r="421" spans="1:28" ht="15" hidden="1" customHeight="1" x14ac:dyDescent="0.2">
      <c r="A421" s="95" t="s">
        <v>273</v>
      </c>
      <c r="B421" s="84" t="s">
        <v>32</v>
      </c>
      <c r="C421" s="84"/>
      <c r="D421" s="105">
        <f t="shared" si="51"/>
        <v>0</v>
      </c>
      <c r="E421" s="117">
        <f t="shared" si="50"/>
        <v>0</v>
      </c>
    </row>
    <row r="422" spans="1:28" ht="30" hidden="1" customHeight="1" x14ac:dyDescent="0.2">
      <c r="A422" s="95" t="s">
        <v>274</v>
      </c>
      <c r="B422" s="84"/>
      <c r="C422" s="84"/>
      <c r="D422" s="105">
        <f t="shared" si="51"/>
        <v>0</v>
      </c>
      <c r="E422" s="117">
        <f t="shared" si="50"/>
        <v>0</v>
      </c>
    </row>
    <row r="423" spans="1:28" ht="15" hidden="1" customHeight="1" x14ac:dyDescent="0.2">
      <c r="A423" s="95" t="s">
        <v>275</v>
      </c>
      <c r="B423" s="84" t="s">
        <v>32</v>
      </c>
      <c r="C423" s="84"/>
      <c r="D423" s="105">
        <f t="shared" si="51"/>
        <v>0</v>
      </c>
      <c r="E423" s="117">
        <f t="shared" si="50"/>
        <v>0</v>
      </c>
    </row>
    <row r="424" spans="1:28" ht="15" hidden="1" customHeight="1" x14ac:dyDescent="0.2">
      <c r="A424" s="95" t="s">
        <v>276</v>
      </c>
      <c r="B424" s="84" t="s">
        <v>32</v>
      </c>
      <c r="C424" s="84"/>
      <c r="D424" s="105">
        <f t="shared" si="51"/>
        <v>0</v>
      </c>
      <c r="E424" s="117">
        <f t="shared" si="50"/>
        <v>0</v>
      </c>
    </row>
    <row r="425" spans="1:28" ht="15" hidden="1" customHeight="1" x14ac:dyDescent="0.2">
      <c r="A425" s="95" t="s">
        <v>277</v>
      </c>
      <c r="B425" s="84" t="s">
        <v>32</v>
      </c>
      <c r="C425" s="84"/>
      <c r="D425" s="105">
        <f t="shared" si="51"/>
        <v>0</v>
      </c>
      <c r="E425" s="117">
        <f t="shared" si="50"/>
        <v>0</v>
      </c>
    </row>
    <row r="426" spans="1:28" ht="15" hidden="1" customHeight="1" x14ac:dyDescent="0.2">
      <c r="A426" s="95" t="s">
        <v>278</v>
      </c>
      <c r="B426" s="84" t="s">
        <v>32</v>
      </c>
      <c r="C426" s="84"/>
      <c r="D426" s="105">
        <f t="shared" si="51"/>
        <v>0</v>
      </c>
      <c r="E426" s="117">
        <f t="shared" si="50"/>
        <v>0</v>
      </c>
    </row>
    <row r="427" spans="1:28" ht="15" hidden="1" customHeight="1" x14ac:dyDescent="0.2">
      <c r="A427" s="95" t="s">
        <v>279</v>
      </c>
      <c r="B427" s="84" t="s">
        <v>32</v>
      </c>
      <c r="C427" s="84"/>
      <c r="D427" s="105">
        <f t="shared" si="51"/>
        <v>0</v>
      </c>
      <c r="E427" s="117">
        <f t="shared" si="50"/>
        <v>0</v>
      </c>
    </row>
    <row r="428" spans="1:28" ht="90" x14ac:dyDescent="0.2">
      <c r="A428" s="95" t="s">
        <v>479</v>
      </c>
      <c r="B428" s="84" t="s">
        <v>32</v>
      </c>
      <c r="C428" s="84">
        <v>298.68</v>
      </c>
      <c r="D428" s="105">
        <v>378</v>
      </c>
      <c r="E428" s="117">
        <f t="shared" si="50"/>
        <v>393.12</v>
      </c>
    </row>
    <row r="429" spans="1:28" ht="45" x14ac:dyDescent="0.2">
      <c r="A429" s="95" t="s">
        <v>428</v>
      </c>
      <c r="B429" s="84" t="s">
        <v>32</v>
      </c>
      <c r="C429" s="84">
        <v>229.54</v>
      </c>
      <c r="D429" s="105">
        <v>189</v>
      </c>
      <c r="E429" s="117">
        <f t="shared" si="50"/>
        <v>196.56</v>
      </c>
    </row>
    <row r="430" spans="1:28" x14ac:dyDescent="0.2">
      <c r="A430" s="95" t="s">
        <v>480</v>
      </c>
      <c r="B430" s="84" t="s">
        <v>32</v>
      </c>
      <c r="C430" s="84">
        <v>245.49</v>
      </c>
      <c r="D430" s="105">
        <v>311</v>
      </c>
      <c r="E430" s="117">
        <f t="shared" ref="E430:E434" si="52">D430*1.04</f>
        <v>323.44</v>
      </c>
    </row>
    <row r="431" spans="1:28" ht="15.75" x14ac:dyDescent="0.25">
      <c r="A431" s="279" t="s">
        <v>235</v>
      </c>
      <c r="B431" s="279"/>
      <c r="C431" s="279"/>
      <c r="D431" s="279"/>
      <c r="E431" s="279"/>
    </row>
    <row r="432" spans="1:28" ht="165" x14ac:dyDescent="0.2">
      <c r="A432" s="95" t="s">
        <v>481</v>
      </c>
      <c r="B432" s="84" t="s">
        <v>32</v>
      </c>
      <c r="C432" s="84">
        <v>157.68</v>
      </c>
      <c r="D432" s="105">
        <v>199</v>
      </c>
      <c r="E432" s="117">
        <f t="shared" si="52"/>
        <v>206.96</v>
      </c>
    </row>
    <row r="433" spans="1:28" ht="60" x14ac:dyDescent="0.2">
      <c r="A433" s="95" t="s">
        <v>482</v>
      </c>
      <c r="B433" s="84" t="s">
        <v>32</v>
      </c>
      <c r="C433" s="84">
        <v>296.12</v>
      </c>
      <c r="D433" s="105">
        <v>375</v>
      </c>
      <c r="E433" s="117">
        <f t="shared" si="52"/>
        <v>390</v>
      </c>
    </row>
    <row r="434" spans="1:28" ht="60" x14ac:dyDescent="0.2">
      <c r="A434" s="95" t="s">
        <v>483</v>
      </c>
      <c r="B434" s="84" t="s">
        <v>32</v>
      </c>
      <c r="C434" s="84">
        <v>296.12</v>
      </c>
      <c r="D434" s="105">
        <v>268</v>
      </c>
      <c r="E434" s="117">
        <f t="shared" si="52"/>
        <v>278.72000000000003</v>
      </c>
      <c r="AB434" s="71"/>
    </row>
    <row r="435" spans="1:28" ht="232.5" customHeight="1" x14ac:dyDescent="0.2">
      <c r="A435" s="95" t="s">
        <v>484</v>
      </c>
      <c r="B435" s="84"/>
      <c r="C435" s="84">
        <v>148.06</v>
      </c>
      <c r="D435" s="105">
        <v>187</v>
      </c>
      <c r="E435" s="117">
        <f t="shared" ref="E435:E443" si="53">D435*1.04</f>
        <v>194.48000000000002</v>
      </c>
    </row>
    <row r="436" spans="1:28" ht="32.25" customHeight="1" x14ac:dyDescent="0.2">
      <c r="A436" s="95" t="s">
        <v>282</v>
      </c>
      <c r="B436" s="84" t="s">
        <v>32</v>
      </c>
      <c r="C436" s="84">
        <v>232.35</v>
      </c>
      <c r="D436" s="105">
        <v>294</v>
      </c>
      <c r="E436" s="117">
        <f t="shared" si="53"/>
        <v>305.76</v>
      </c>
    </row>
    <row r="437" spans="1:28" ht="45.75" customHeight="1" x14ac:dyDescent="0.2">
      <c r="A437" s="278" t="s">
        <v>485</v>
      </c>
      <c r="B437" s="278"/>
      <c r="C437" s="278"/>
      <c r="D437" s="278"/>
      <c r="E437" s="278"/>
    </row>
    <row r="438" spans="1:28" ht="225" x14ac:dyDescent="0.2">
      <c r="A438" s="95" t="s">
        <v>486</v>
      </c>
      <c r="B438" s="84" t="s">
        <v>32</v>
      </c>
      <c r="C438" s="84">
        <v>157.75</v>
      </c>
      <c r="D438" s="105">
        <v>200</v>
      </c>
      <c r="E438" s="117">
        <f t="shared" si="53"/>
        <v>208</v>
      </c>
    </row>
    <row r="439" spans="1:28" x14ac:dyDescent="0.2">
      <c r="A439" s="95" t="s">
        <v>283</v>
      </c>
      <c r="B439" s="84" t="s">
        <v>32</v>
      </c>
      <c r="C439" s="84">
        <v>209.07</v>
      </c>
      <c r="D439" s="105">
        <v>265</v>
      </c>
      <c r="E439" s="117">
        <f t="shared" si="53"/>
        <v>275.60000000000002</v>
      </c>
    </row>
    <row r="440" spans="1:28" ht="195" x14ac:dyDescent="0.2">
      <c r="A440" s="95" t="s">
        <v>487</v>
      </c>
      <c r="B440" s="84" t="s">
        <v>32</v>
      </c>
      <c r="C440" s="84">
        <v>171.12</v>
      </c>
      <c r="D440" s="103">
        <v>192</v>
      </c>
      <c r="E440" s="117">
        <f t="shared" si="53"/>
        <v>199.68</v>
      </c>
    </row>
    <row r="441" spans="1:28" ht="165" x14ac:dyDescent="0.2">
      <c r="A441" s="95" t="s">
        <v>488</v>
      </c>
      <c r="B441" s="84" t="s">
        <v>32</v>
      </c>
      <c r="C441" s="84">
        <v>171.12</v>
      </c>
      <c r="D441" s="103">
        <f>167*1.15</f>
        <v>192.04999999999998</v>
      </c>
      <c r="E441" s="117">
        <f t="shared" si="53"/>
        <v>199.732</v>
      </c>
    </row>
    <row r="442" spans="1:28" ht="15.75" x14ac:dyDescent="0.2">
      <c r="A442" s="278" t="s">
        <v>489</v>
      </c>
      <c r="B442" s="278"/>
      <c r="C442" s="278"/>
      <c r="D442" s="278"/>
      <c r="E442" s="117">
        <f t="shared" si="53"/>
        <v>0</v>
      </c>
    </row>
    <row r="443" spans="1:28" ht="135" x14ac:dyDescent="0.2">
      <c r="A443" s="95" t="s">
        <v>490</v>
      </c>
      <c r="B443" s="84" t="s">
        <v>32</v>
      </c>
      <c r="C443" s="84"/>
      <c r="D443" s="103">
        <f>163*1.15</f>
        <v>187.45</v>
      </c>
      <c r="E443" s="117">
        <f t="shared" si="53"/>
        <v>194.94800000000001</v>
      </c>
    </row>
    <row r="444" spans="1:28" x14ac:dyDescent="0.2">
      <c r="A444" s="95" t="s">
        <v>419</v>
      </c>
      <c r="B444" s="84" t="s">
        <v>32</v>
      </c>
      <c r="C444" s="84"/>
      <c r="D444" s="103">
        <f>163*1.15</f>
        <v>187.45</v>
      </c>
      <c r="E444" s="117">
        <f t="shared" ref="E444" si="54">D444*1.04</f>
        <v>194.94800000000001</v>
      </c>
    </row>
    <row r="445" spans="1:28" ht="54.75" customHeight="1" x14ac:dyDescent="0.2">
      <c r="A445" s="285" t="s">
        <v>770</v>
      </c>
      <c r="B445" s="285"/>
      <c r="C445" s="285"/>
      <c r="D445" s="285"/>
      <c r="E445" s="285"/>
    </row>
    <row r="446" spans="1:28" ht="15.75" x14ac:dyDescent="0.25">
      <c r="A446" s="279" t="s">
        <v>78</v>
      </c>
      <c r="B446" s="279"/>
      <c r="C446" s="279"/>
      <c r="D446" s="279"/>
      <c r="E446" s="279"/>
    </row>
    <row r="447" spans="1:28" ht="30" x14ac:dyDescent="0.2">
      <c r="A447" s="107" t="s">
        <v>112</v>
      </c>
      <c r="B447" s="84" t="s">
        <v>113</v>
      </c>
      <c r="C447" s="84">
        <v>132.01</v>
      </c>
      <c r="D447" s="105">
        <v>167</v>
      </c>
      <c r="E447" s="117">
        <f t="shared" ref="E447:E471" si="55">D447*1.04</f>
        <v>173.68</v>
      </c>
    </row>
    <row r="448" spans="1:28" ht="42.75" customHeight="1" x14ac:dyDescent="0.2">
      <c r="A448" s="95" t="s">
        <v>263</v>
      </c>
      <c r="B448" s="84" t="s">
        <v>320</v>
      </c>
      <c r="C448" s="84">
        <v>69.069999999999993</v>
      </c>
      <c r="D448" s="105">
        <v>87</v>
      </c>
      <c r="E448" s="117">
        <f t="shared" si="55"/>
        <v>90.48</v>
      </c>
    </row>
    <row r="449" spans="1:5" hidden="1" x14ac:dyDescent="0.2">
      <c r="A449" s="95" t="s">
        <v>127</v>
      </c>
      <c r="B449" s="84" t="s">
        <v>116</v>
      </c>
      <c r="C449" s="84"/>
      <c r="D449" s="105">
        <f t="shared" ref="D449:D458" si="56">ROUND(C449*1.1,0)</f>
        <v>0</v>
      </c>
      <c r="E449" s="117">
        <f t="shared" si="55"/>
        <v>0</v>
      </c>
    </row>
    <row r="450" spans="1:5" hidden="1" x14ac:dyDescent="0.2">
      <c r="A450" s="95" t="s">
        <v>119</v>
      </c>
      <c r="B450" s="84" t="s">
        <v>116</v>
      </c>
      <c r="C450" s="84"/>
      <c r="D450" s="105">
        <f t="shared" si="56"/>
        <v>0</v>
      </c>
      <c r="E450" s="117">
        <f t="shared" si="55"/>
        <v>0</v>
      </c>
    </row>
    <row r="451" spans="1:5" hidden="1" x14ac:dyDescent="0.2">
      <c r="A451" s="95" t="s">
        <v>118</v>
      </c>
      <c r="B451" s="84" t="s">
        <v>116</v>
      </c>
      <c r="C451" s="84"/>
      <c r="D451" s="105">
        <f t="shared" si="56"/>
        <v>0</v>
      </c>
      <c r="E451" s="117">
        <f t="shared" si="55"/>
        <v>0</v>
      </c>
    </row>
    <row r="452" spans="1:5" ht="45" x14ac:dyDescent="0.2">
      <c r="A452" s="107" t="s">
        <v>132</v>
      </c>
      <c r="B452" s="97" t="s">
        <v>133</v>
      </c>
      <c r="C452" s="84">
        <v>150.02000000000001</v>
      </c>
      <c r="D452" s="105">
        <v>190</v>
      </c>
      <c r="E452" s="117">
        <f t="shared" si="55"/>
        <v>197.6</v>
      </c>
    </row>
    <row r="453" spans="1:5" ht="33.75" x14ac:dyDescent="0.2">
      <c r="A453" s="107" t="s">
        <v>134</v>
      </c>
      <c r="B453" s="97" t="s">
        <v>135</v>
      </c>
      <c r="C453" s="84">
        <v>27.89</v>
      </c>
      <c r="D453" s="105">
        <v>36</v>
      </c>
      <c r="E453" s="117">
        <f t="shared" si="55"/>
        <v>37.44</v>
      </c>
    </row>
    <row r="454" spans="1:5" x14ac:dyDescent="0.2">
      <c r="A454" s="95" t="s">
        <v>284</v>
      </c>
      <c r="B454" s="84" t="s">
        <v>320</v>
      </c>
      <c r="C454" s="84">
        <v>38.83</v>
      </c>
      <c r="D454" s="105">
        <v>49</v>
      </c>
      <c r="E454" s="117">
        <f t="shared" si="55"/>
        <v>50.96</v>
      </c>
    </row>
    <row r="455" spans="1:5" ht="15" hidden="1" customHeight="1" x14ac:dyDescent="0.2">
      <c r="A455" s="95" t="s">
        <v>145</v>
      </c>
      <c r="B455" s="84" t="s">
        <v>138</v>
      </c>
      <c r="C455" s="84"/>
      <c r="D455" s="105">
        <f t="shared" si="56"/>
        <v>0</v>
      </c>
      <c r="E455" s="117">
        <f t="shared" si="55"/>
        <v>0</v>
      </c>
    </row>
    <row r="456" spans="1:5" ht="15" hidden="1" customHeight="1" x14ac:dyDescent="0.2">
      <c r="A456" s="95" t="s">
        <v>146</v>
      </c>
      <c r="B456" s="84" t="s">
        <v>138</v>
      </c>
      <c r="C456" s="84"/>
      <c r="D456" s="105">
        <f t="shared" si="56"/>
        <v>0</v>
      </c>
      <c r="E456" s="117">
        <f t="shared" si="55"/>
        <v>0</v>
      </c>
    </row>
    <row r="457" spans="1:5" ht="15" hidden="1" customHeight="1" x14ac:dyDescent="0.2">
      <c r="A457" s="95" t="s">
        <v>147</v>
      </c>
      <c r="B457" s="84" t="s">
        <v>138</v>
      </c>
      <c r="C457" s="84"/>
      <c r="D457" s="105">
        <f t="shared" si="56"/>
        <v>0</v>
      </c>
      <c r="E457" s="117">
        <f t="shared" si="55"/>
        <v>0</v>
      </c>
    </row>
    <row r="458" spans="1:5" ht="15" hidden="1" customHeight="1" x14ac:dyDescent="0.2">
      <c r="A458" s="95" t="s">
        <v>148</v>
      </c>
      <c r="B458" s="84" t="s">
        <v>138</v>
      </c>
      <c r="C458" s="84"/>
      <c r="D458" s="105">
        <f t="shared" si="56"/>
        <v>0</v>
      </c>
      <c r="E458" s="117">
        <f t="shared" si="55"/>
        <v>0</v>
      </c>
    </row>
    <row r="459" spans="1:5" ht="30" x14ac:dyDescent="0.2">
      <c r="A459" s="95" t="s">
        <v>285</v>
      </c>
      <c r="B459" s="84" t="s">
        <v>32</v>
      </c>
      <c r="C459" s="84">
        <v>239.73</v>
      </c>
      <c r="D459" s="105">
        <v>304</v>
      </c>
      <c r="E459" s="117">
        <f t="shared" si="55"/>
        <v>316.16000000000003</v>
      </c>
    </row>
    <row r="460" spans="1:5" ht="45" x14ac:dyDescent="0.2">
      <c r="A460" s="95" t="s">
        <v>286</v>
      </c>
      <c r="B460" s="84" t="s">
        <v>32</v>
      </c>
      <c r="C460" s="84">
        <v>174.99</v>
      </c>
      <c r="D460" s="105">
        <v>221</v>
      </c>
      <c r="E460" s="117">
        <f t="shared" si="55"/>
        <v>229.84</v>
      </c>
    </row>
    <row r="461" spans="1:5" ht="15.75" x14ac:dyDescent="0.25">
      <c r="A461" s="279" t="s">
        <v>91</v>
      </c>
      <c r="B461" s="279"/>
      <c r="C461" s="279"/>
      <c r="D461" s="279"/>
      <c r="E461" s="279"/>
    </row>
    <row r="462" spans="1:5" ht="30" x14ac:dyDescent="0.2">
      <c r="A462" s="95" t="s">
        <v>186</v>
      </c>
      <c r="B462" s="84" t="s">
        <v>32</v>
      </c>
      <c r="C462" s="84">
        <v>141.51</v>
      </c>
      <c r="D462" s="105">
        <v>179</v>
      </c>
      <c r="E462" s="117">
        <f t="shared" si="55"/>
        <v>186.16</v>
      </c>
    </row>
    <row r="463" spans="1:5" ht="30" x14ac:dyDescent="0.2">
      <c r="A463" s="95" t="s">
        <v>269</v>
      </c>
      <c r="B463" s="84" t="s">
        <v>32</v>
      </c>
      <c r="C463" s="84">
        <v>269.89</v>
      </c>
      <c r="D463" s="105">
        <v>342</v>
      </c>
      <c r="E463" s="117">
        <f t="shared" si="55"/>
        <v>355.68</v>
      </c>
    </row>
    <row r="464" spans="1:5" x14ac:dyDescent="0.2">
      <c r="A464" s="95" t="s">
        <v>270</v>
      </c>
      <c r="B464" s="84" t="s">
        <v>32</v>
      </c>
      <c r="C464" s="84">
        <v>86.11</v>
      </c>
      <c r="D464" s="105">
        <v>109</v>
      </c>
      <c r="E464" s="117">
        <f t="shared" si="55"/>
        <v>113.36</v>
      </c>
    </row>
    <row r="465" spans="1:5" ht="30" x14ac:dyDescent="0.2">
      <c r="A465" s="95" t="s">
        <v>287</v>
      </c>
      <c r="B465" s="84" t="s">
        <v>32</v>
      </c>
      <c r="C465" s="84">
        <v>47.36</v>
      </c>
      <c r="D465" s="105">
        <v>60</v>
      </c>
      <c r="E465" s="117">
        <f t="shared" si="55"/>
        <v>62.400000000000006</v>
      </c>
    </row>
    <row r="466" spans="1:5" ht="30" x14ac:dyDescent="0.2">
      <c r="A466" s="95" t="s">
        <v>288</v>
      </c>
      <c r="B466" s="84" t="s">
        <v>32</v>
      </c>
      <c r="C466" s="84">
        <v>81.19</v>
      </c>
      <c r="D466" s="105">
        <v>102</v>
      </c>
      <c r="E466" s="117">
        <f t="shared" si="55"/>
        <v>106.08</v>
      </c>
    </row>
    <row r="467" spans="1:5" ht="45" x14ac:dyDescent="0.2">
      <c r="A467" s="95" t="s">
        <v>271</v>
      </c>
      <c r="B467" s="84" t="s">
        <v>32</v>
      </c>
      <c r="C467" s="84">
        <v>148.41</v>
      </c>
      <c r="D467" s="105">
        <v>187</v>
      </c>
      <c r="E467" s="117">
        <f t="shared" si="55"/>
        <v>194.48000000000002</v>
      </c>
    </row>
    <row r="468" spans="1:5" ht="45" x14ac:dyDescent="0.2">
      <c r="A468" s="95" t="s">
        <v>289</v>
      </c>
      <c r="B468" s="84" t="s">
        <v>32</v>
      </c>
      <c r="C468" s="84">
        <v>142.03</v>
      </c>
      <c r="D468" s="105">
        <v>179</v>
      </c>
      <c r="E468" s="117">
        <f t="shared" si="55"/>
        <v>186.16</v>
      </c>
    </row>
    <row r="469" spans="1:5" ht="90" x14ac:dyDescent="0.2">
      <c r="A469" s="95" t="s">
        <v>290</v>
      </c>
      <c r="B469" s="84" t="s">
        <v>32</v>
      </c>
      <c r="C469" s="84">
        <v>162.26</v>
      </c>
      <c r="D469" s="105">
        <v>205</v>
      </c>
      <c r="E469" s="117">
        <f t="shared" si="55"/>
        <v>213.20000000000002</v>
      </c>
    </row>
    <row r="470" spans="1:5" ht="30" x14ac:dyDescent="0.2">
      <c r="A470" s="95" t="s">
        <v>291</v>
      </c>
      <c r="B470" s="84" t="s">
        <v>32</v>
      </c>
      <c r="C470" s="84">
        <v>94.69</v>
      </c>
      <c r="D470" s="105">
        <v>120</v>
      </c>
      <c r="E470" s="117">
        <f t="shared" si="55"/>
        <v>124.80000000000001</v>
      </c>
    </row>
    <row r="471" spans="1:5" ht="60" x14ac:dyDescent="0.2">
      <c r="A471" s="95" t="s">
        <v>292</v>
      </c>
      <c r="B471" s="84" t="s">
        <v>32</v>
      </c>
      <c r="C471" s="84">
        <v>148.41</v>
      </c>
      <c r="D471" s="105">
        <v>187</v>
      </c>
      <c r="E471" s="117">
        <f t="shared" si="55"/>
        <v>194.48000000000002</v>
      </c>
    </row>
    <row r="472" spans="1:5" ht="60" x14ac:dyDescent="0.2">
      <c r="A472" s="95" t="s">
        <v>293</v>
      </c>
      <c r="B472" s="84" t="s">
        <v>32</v>
      </c>
      <c r="C472" s="84">
        <v>207.19</v>
      </c>
      <c r="D472" s="105">
        <v>262</v>
      </c>
      <c r="E472" s="117">
        <f t="shared" ref="E472:E486" si="57">D472*1.04</f>
        <v>272.48</v>
      </c>
    </row>
    <row r="473" spans="1:5" ht="15.75" x14ac:dyDescent="0.25">
      <c r="A473" s="279" t="s">
        <v>73</v>
      </c>
      <c r="B473" s="279"/>
      <c r="C473" s="279"/>
      <c r="D473" s="279"/>
      <c r="E473" s="279"/>
    </row>
    <row r="474" spans="1:5" ht="30" x14ac:dyDescent="0.2">
      <c r="A474" s="95" t="s">
        <v>294</v>
      </c>
      <c r="B474" s="84" t="s">
        <v>32</v>
      </c>
      <c r="C474" s="84">
        <v>157.68</v>
      </c>
      <c r="D474" s="105">
        <v>199</v>
      </c>
      <c r="E474" s="117">
        <f t="shared" si="57"/>
        <v>206.96</v>
      </c>
    </row>
    <row r="475" spans="1:5" ht="15.75" hidden="1" customHeight="1" x14ac:dyDescent="0.2">
      <c r="A475" s="95" t="s">
        <v>272</v>
      </c>
      <c r="B475" s="84" t="s">
        <v>32</v>
      </c>
      <c r="C475" s="84"/>
      <c r="D475" s="105">
        <f t="shared" ref="D475:D482" si="58">ROUND(C475*1.1,0)</f>
        <v>0</v>
      </c>
      <c r="E475" s="117">
        <f t="shared" si="57"/>
        <v>0</v>
      </c>
    </row>
    <row r="476" spans="1:5" ht="15.75" hidden="1" customHeight="1" x14ac:dyDescent="0.2">
      <c r="A476" s="95" t="s">
        <v>295</v>
      </c>
      <c r="B476" s="84" t="s">
        <v>32</v>
      </c>
      <c r="C476" s="84"/>
      <c r="D476" s="105">
        <f t="shared" si="58"/>
        <v>0</v>
      </c>
      <c r="E476" s="117">
        <f t="shared" si="57"/>
        <v>0</v>
      </c>
    </row>
    <row r="477" spans="1:5" ht="30" hidden="1" customHeight="1" x14ac:dyDescent="0.2">
      <c r="A477" s="95" t="s">
        <v>274</v>
      </c>
      <c r="B477" s="84"/>
      <c r="C477" s="84"/>
      <c r="D477" s="105">
        <f t="shared" si="58"/>
        <v>0</v>
      </c>
      <c r="E477" s="117">
        <f t="shared" si="57"/>
        <v>0</v>
      </c>
    </row>
    <row r="478" spans="1:5" ht="15.75" hidden="1" customHeight="1" x14ac:dyDescent="0.2">
      <c r="A478" s="95" t="s">
        <v>275</v>
      </c>
      <c r="B478" s="84" t="s">
        <v>32</v>
      </c>
      <c r="C478" s="84"/>
      <c r="D478" s="105">
        <f t="shared" si="58"/>
        <v>0</v>
      </c>
      <c r="E478" s="117">
        <f t="shared" si="57"/>
        <v>0</v>
      </c>
    </row>
    <row r="479" spans="1:5" ht="15.75" hidden="1" customHeight="1" x14ac:dyDescent="0.2">
      <c r="A479" s="95" t="s">
        <v>276</v>
      </c>
      <c r="B479" s="84" t="s">
        <v>32</v>
      </c>
      <c r="C479" s="84"/>
      <c r="D479" s="105">
        <f t="shared" si="58"/>
        <v>0</v>
      </c>
      <c r="E479" s="117">
        <f t="shared" si="57"/>
        <v>0</v>
      </c>
    </row>
    <row r="480" spans="1:5" ht="15.75" hidden="1" customHeight="1" x14ac:dyDescent="0.2">
      <c r="A480" s="95" t="s">
        <v>277</v>
      </c>
      <c r="B480" s="84" t="s">
        <v>32</v>
      </c>
      <c r="C480" s="84"/>
      <c r="D480" s="105">
        <f t="shared" si="58"/>
        <v>0</v>
      </c>
      <c r="E480" s="117">
        <f t="shared" si="57"/>
        <v>0</v>
      </c>
    </row>
    <row r="481" spans="1:5" ht="15.75" hidden="1" customHeight="1" x14ac:dyDescent="0.2">
      <c r="A481" s="95" t="s">
        <v>278</v>
      </c>
      <c r="B481" s="84" t="s">
        <v>32</v>
      </c>
      <c r="C481" s="84"/>
      <c r="D481" s="105">
        <f t="shared" si="58"/>
        <v>0</v>
      </c>
      <c r="E481" s="117">
        <f t="shared" si="57"/>
        <v>0</v>
      </c>
    </row>
    <row r="482" spans="1:5" ht="15.75" hidden="1" customHeight="1" x14ac:dyDescent="0.2">
      <c r="A482" s="95" t="s">
        <v>279</v>
      </c>
      <c r="B482" s="84" t="s">
        <v>32</v>
      </c>
      <c r="C482" s="84"/>
      <c r="D482" s="105">
        <f t="shared" si="58"/>
        <v>0</v>
      </c>
      <c r="E482" s="117">
        <f t="shared" si="57"/>
        <v>0</v>
      </c>
    </row>
    <row r="483" spans="1:5" x14ac:dyDescent="0.2">
      <c r="A483" s="95" t="s">
        <v>280</v>
      </c>
      <c r="B483" s="84" t="s">
        <v>32</v>
      </c>
      <c r="C483" s="84">
        <v>136.15</v>
      </c>
      <c r="D483" s="105">
        <v>173</v>
      </c>
      <c r="E483" s="117">
        <f t="shared" si="57"/>
        <v>179.92000000000002</v>
      </c>
    </row>
    <row r="484" spans="1:5" ht="60" x14ac:dyDescent="0.2">
      <c r="A484" s="95" t="s">
        <v>296</v>
      </c>
      <c r="B484" s="84" t="s">
        <v>32</v>
      </c>
      <c r="C484" s="84">
        <v>245.88</v>
      </c>
      <c r="D484" s="105">
        <v>311</v>
      </c>
      <c r="E484" s="117">
        <f t="shared" si="57"/>
        <v>323.44</v>
      </c>
    </row>
    <row r="485" spans="1:5" ht="30" x14ac:dyDescent="0.2">
      <c r="A485" s="95" t="s">
        <v>297</v>
      </c>
      <c r="B485" s="84" t="s">
        <v>32</v>
      </c>
      <c r="C485" s="84">
        <v>163.92</v>
      </c>
      <c r="D485" s="105">
        <v>207</v>
      </c>
      <c r="E485" s="117">
        <f t="shared" si="57"/>
        <v>215.28</v>
      </c>
    </row>
    <row r="486" spans="1:5" ht="30" x14ac:dyDescent="0.2">
      <c r="A486" s="95" t="s">
        <v>281</v>
      </c>
      <c r="B486" s="84" t="s">
        <v>32</v>
      </c>
      <c r="C486" s="84">
        <v>230.51</v>
      </c>
      <c r="D486" s="105">
        <v>292</v>
      </c>
      <c r="E486" s="117">
        <f t="shared" si="57"/>
        <v>303.68</v>
      </c>
    </row>
    <row r="487" spans="1:5" ht="60" x14ac:dyDescent="0.2">
      <c r="A487" s="95" t="s">
        <v>298</v>
      </c>
      <c r="B487" s="84" t="s">
        <v>32</v>
      </c>
      <c r="C487" s="84">
        <v>194.72</v>
      </c>
      <c r="D487" s="105">
        <v>246</v>
      </c>
      <c r="E487" s="117">
        <f t="shared" ref="E487:E491" si="59">D487*1.04</f>
        <v>255.84</v>
      </c>
    </row>
    <row r="488" spans="1:5" ht="15.75" x14ac:dyDescent="0.25">
      <c r="A488" s="279" t="s">
        <v>235</v>
      </c>
      <c r="B488" s="279"/>
      <c r="C488" s="279"/>
      <c r="D488" s="279"/>
      <c r="E488" s="279"/>
    </row>
    <row r="489" spans="1:5" ht="30" x14ac:dyDescent="0.2">
      <c r="A489" s="95" t="s">
        <v>299</v>
      </c>
      <c r="B489" s="84" t="s">
        <v>32</v>
      </c>
      <c r="C489" s="84">
        <v>148.06</v>
      </c>
      <c r="D489" s="105">
        <v>187</v>
      </c>
      <c r="E489" s="117">
        <f t="shared" si="59"/>
        <v>194.48000000000002</v>
      </c>
    </row>
    <row r="490" spans="1:5" ht="75" x14ac:dyDescent="0.2">
      <c r="A490" s="95" t="s">
        <v>300</v>
      </c>
      <c r="B490" s="84" t="s">
        <v>32</v>
      </c>
      <c r="C490" s="84">
        <v>256.97000000000003</v>
      </c>
      <c r="D490" s="105">
        <v>325</v>
      </c>
      <c r="E490" s="117">
        <f t="shared" si="59"/>
        <v>338</v>
      </c>
    </row>
    <row r="491" spans="1:5" ht="123" customHeight="1" x14ac:dyDescent="0.2">
      <c r="A491" s="95" t="s">
        <v>301</v>
      </c>
      <c r="B491" s="84" t="s">
        <v>32</v>
      </c>
      <c r="C491" s="84">
        <v>296.12</v>
      </c>
      <c r="D491" s="105">
        <v>375</v>
      </c>
      <c r="E491" s="117">
        <f t="shared" si="59"/>
        <v>390</v>
      </c>
    </row>
    <row r="492" spans="1:5" ht="60" x14ac:dyDescent="0.2">
      <c r="A492" s="95" t="s">
        <v>302</v>
      </c>
      <c r="B492" s="84" t="s">
        <v>32</v>
      </c>
      <c r="C492" s="84">
        <v>183.01</v>
      </c>
      <c r="D492" s="105">
        <f>ROUND(C492*1.1,0)*1.15</f>
        <v>231.14999999999998</v>
      </c>
      <c r="E492" s="117">
        <f t="shared" ref="E492:E500" si="60">D492*1.04</f>
        <v>240.39599999999999</v>
      </c>
    </row>
    <row r="493" spans="1:5" ht="15.75" x14ac:dyDescent="0.25">
      <c r="A493" s="279" t="s">
        <v>244</v>
      </c>
      <c r="B493" s="279"/>
      <c r="C493" s="279"/>
      <c r="D493" s="279"/>
      <c r="E493" s="279"/>
    </row>
    <row r="494" spans="1:5" x14ac:dyDescent="0.2">
      <c r="A494" s="95" t="s">
        <v>303</v>
      </c>
      <c r="B494" s="84" t="s">
        <v>32</v>
      </c>
      <c r="C494" s="84">
        <v>116.19</v>
      </c>
      <c r="D494" s="105">
        <v>147</v>
      </c>
      <c r="E494" s="117">
        <f t="shared" si="60"/>
        <v>152.88</v>
      </c>
    </row>
    <row r="495" spans="1:5" ht="30" x14ac:dyDescent="0.2">
      <c r="A495" s="95" t="s">
        <v>304</v>
      </c>
      <c r="B495" s="84" t="s">
        <v>32</v>
      </c>
      <c r="C495" s="84">
        <v>154.88999999999999</v>
      </c>
      <c r="D495" s="105">
        <v>196</v>
      </c>
      <c r="E495" s="117">
        <f t="shared" si="60"/>
        <v>203.84</v>
      </c>
    </row>
    <row r="496" spans="1:5" ht="105" x14ac:dyDescent="0.2">
      <c r="A496" s="95" t="s">
        <v>305</v>
      </c>
      <c r="B496" s="84" t="s">
        <v>32</v>
      </c>
      <c r="C496" s="84">
        <v>232.35</v>
      </c>
      <c r="D496" s="105">
        <v>294</v>
      </c>
      <c r="E496" s="117">
        <f t="shared" si="60"/>
        <v>305.76</v>
      </c>
    </row>
    <row r="497" spans="1:5" ht="15.75" x14ac:dyDescent="0.25">
      <c r="A497" s="279" t="s">
        <v>75</v>
      </c>
      <c r="B497" s="279"/>
      <c r="C497" s="279"/>
      <c r="D497" s="279"/>
      <c r="E497" s="279"/>
    </row>
    <row r="498" spans="1:5" ht="60" x14ac:dyDescent="0.2">
      <c r="A498" s="95" t="s">
        <v>306</v>
      </c>
      <c r="B498" s="84" t="s">
        <v>32</v>
      </c>
      <c r="C498" s="84">
        <v>157.75</v>
      </c>
      <c r="D498" s="105">
        <v>200</v>
      </c>
      <c r="E498" s="117">
        <f t="shared" si="60"/>
        <v>208</v>
      </c>
    </row>
    <row r="499" spans="1:5" ht="75" x14ac:dyDescent="0.2">
      <c r="A499" s="95" t="s">
        <v>307</v>
      </c>
      <c r="B499" s="84" t="s">
        <v>32</v>
      </c>
      <c r="C499" s="84">
        <v>157.75</v>
      </c>
      <c r="D499" s="105">
        <v>200</v>
      </c>
      <c r="E499" s="117">
        <f t="shared" si="60"/>
        <v>208</v>
      </c>
    </row>
    <row r="500" spans="1:5" ht="90" x14ac:dyDescent="0.2">
      <c r="A500" s="95" t="s">
        <v>308</v>
      </c>
      <c r="B500" s="84" t="s">
        <v>32</v>
      </c>
      <c r="C500" s="84">
        <v>209.07</v>
      </c>
      <c r="D500" s="105">
        <v>265</v>
      </c>
      <c r="E500" s="117">
        <f t="shared" si="60"/>
        <v>275.60000000000002</v>
      </c>
    </row>
    <row r="501" spans="1:5" ht="126.75" customHeight="1" x14ac:dyDescent="0.2">
      <c r="A501" s="286" t="s">
        <v>771</v>
      </c>
      <c r="B501" s="286"/>
      <c r="C501" s="286"/>
      <c r="D501" s="286"/>
      <c r="E501" s="286"/>
    </row>
    <row r="502" spans="1:5" ht="21" customHeight="1" x14ac:dyDescent="0.25">
      <c r="A502" s="259" t="s">
        <v>78</v>
      </c>
      <c r="B502" s="259"/>
      <c r="C502" s="259"/>
      <c r="D502" s="259"/>
      <c r="E502" s="259"/>
    </row>
    <row r="503" spans="1:5" ht="102" customHeight="1" x14ac:dyDescent="0.2">
      <c r="A503" s="65" t="s">
        <v>544</v>
      </c>
      <c r="B503" s="134" t="s">
        <v>623</v>
      </c>
      <c r="C503" s="166">
        <v>69.87</v>
      </c>
      <c r="D503" s="103">
        <v>641</v>
      </c>
      <c r="E503" s="117">
        <f t="shared" ref="E503:E514" si="61">D503*1.04</f>
        <v>666.64</v>
      </c>
    </row>
    <row r="504" spans="1:5" ht="25.5" hidden="1" customHeight="1" x14ac:dyDescent="0.2">
      <c r="A504" s="196" t="s">
        <v>740</v>
      </c>
      <c r="B504" s="147"/>
      <c r="C504" s="148"/>
      <c r="D504" s="173">
        <f>3.5*77*1.15</f>
        <v>309.92499999999995</v>
      </c>
      <c r="E504" s="117">
        <f t="shared" si="61"/>
        <v>322.32199999999995</v>
      </c>
    </row>
    <row r="505" spans="1:5" ht="25.5" hidden="1" customHeight="1" x14ac:dyDescent="0.2">
      <c r="A505" s="196" t="s">
        <v>741</v>
      </c>
      <c r="B505" s="147"/>
      <c r="C505" s="148"/>
      <c r="D505" s="173">
        <f>110*1.15</f>
        <v>126.49999999999999</v>
      </c>
      <c r="E505" s="117">
        <f t="shared" si="61"/>
        <v>131.56</v>
      </c>
    </row>
    <row r="506" spans="1:5" ht="25.5" hidden="1" customHeight="1" x14ac:dyDescent="0.2">
      <c r="A506" s="196" t="s">
        <v>119</v>
      </c>
      <c r="B506" s="147"/>
      <c r="C506" s="148"/>
      <c r="D506" s="173">
        <f>21*1.15</f>
        <v>24.15</v>
      </c>
      <c r="E506" s="117">
        <f t="shared" si="61"/>
        <v>25.116</v>
      </c>
    </row>
    <row r="507" spans="1:5" ht="25.5" hidden="1" customHeight="1" x14ac:dyDescent="0.2">
      <c r="A507" s="196" t="s">
        <v>742</v>
      </c>
      <c r="B507" s="147"/>
      <c r="C507" s="148"/>
      <c r="D507" s="173">
        <f>13*1.15</f>
        <v>14.95</v>
      </c>
      <c r="E507" s="117">
        <f t="shared" si="61"/>
        <v>15.548</v>
      </c>
    </row>
    <row r="508" spans="1:5" ht="25.5" hidden="1" customHeight="1" x14ac:dyDescent="0.2">
      <c r="A508" s="196" t="s">
        <v>743</v>
      </c>
      <c r="B508" s="147"/>
      <c r="C508" s="148"/>
      <c r="D508" s="173">
        <f>37*1.15</f>
        <v>42.55</v>
      </c>
      <c r="E508" s="117">
        <f t="shared" si="61"/>
        <v>44.251999999999995</v>
      </c>
    </row>
    <row r="509" spans="1:5" ht="25.5" hidden="1" customHeight="1" x14ac:dyDescent="0.2">
      <c r="A509" s="196" t="s">
        <v>744</v>
      </c>
      <c r="B509" s="147"/>
      <c r="C509" s="148"/>
      <c r="D509" s="173">
        <f>12*1.15</f>
        <v>13.799999999999999</v>
      </c>
      <c r="E509" s="117">
        <f t="shared" si="61"/>
        <v>14.351999999999999</v>
      </c>
    </row>
    <row r="510" spans="1:5" ht="25.5" hidden="1" customHeight="1" x14ac:dyDescent="0.2">
      <c r="A510" s="196" t="s">
        <v>127</v>
      </c>
      <c r="B510" s="147"/>
      <c r="C510" s="148"/>
      <c r="D510" s="173">
        <f>95*1.15</f>
        <v>109.24999999999999</v>
      </c>
      <c r="E510" s="117">
        <f t="shared" si="61"/>
        <v>113.61999999999999</v>
      </c>
    </row>
    <row r="511" spans="1:5" ht="42" customHeight="1" x14ac:dyDescent="0.2">
      <c r="A511" s="217" t="s">
        <v>726</v>
      </c>
      <c r="B511" s="166"/>
      <c r="C511" s="166"/>
      <c r="D511" s="76"/>
      <c r="E511" s="117">
        <f t="shared" si="61"/>
        <v>0</v>
      </c>
    </row>
    <row r="512" spans="1:5" ht="16.5" customHeight="1" x14ac:dyDescent="0.2">
      <c r="A512" s="65" t="s">
        <v>727</v>
      </c>
      <c r="B512" s="166" t="s">
        <v>116</v>
      </c>
      <c r="C512" s="166">
        <v>34.9</v>
      </c>
      <c r="D512" s="103">
        <v>44</v>
      </c>
      <c r="E512" s="117">
        <f t="shared" si="61"/>
        <v>45.760000000000005</v>
      </c>
    </row>
    <row r="513" spans="1:5" ht="16.5" customHeight="1" x14ac:dyDescent="0.2">
      <c r="A513" s="65" t="s">
        <v>118</v>
      </c>
      <c r="B513" s="166" t="s">
        <v>116</v>
      </c>
      <c r="C513" s="166">
        <v>11.96</v>
      </c>
      <c r="D513" s="103">
        <v>15</v>
      </c>
      <c r="E513" s="117">
        <f t="shared" si="61"/>
        <v>15.600000000000001</v>
      </c>
    </row>
    <row r="514" spans="1:5" ht="16.5" customHeight="1" x14ac:dyDescent="0.2">
      <c r="A514" s="65" t="s">
        <v>728</v>
      </c>
      <c r="B514" s="166" t="s">
        <v>116</v>
      </c>
      <c r="C514" s="166">
        <v>8.9499999999999993</v>
      </c>
      <c r="D514" s="103">
        <v>12</v>
      </c>
      <c r="E514" s="117">
        <f t="shared" si="61"/>
        <v>12.48</v>
      </c>
    </row>
    <row r="515" spans="1:5" ht="16.5" customHeight="1" x14ac:dyDescent="0.2">
      <c r="A515" s="65" t="s">
        <v>729</v>
      </c>
      <c r="B515" s="166" t="s">
        <v>116</v>
      </c>
      <c r="C515" s="166">
        <v>5.68</v>
      </c>
      <c r="D515" s="103">
        <v>7</v>
      </c>
      <c r="E515" s="117">
        <f t="shared" ref="E515:E550" si="62">D515*1.04</f>
        <v>7.28</v>
      </c>
    </row>
    <row r="516" spans="1:5" ht="46.5" customHeight="1" x14ac:dyDescent="0.2">
      <c r="A516" s="218" t="s">
        <v>545</v>
      </c>
      <c r="B516" s="166"/>
      <c r="C516" s="166"/>
      <c r="D516" s="103"/>
      <c r="E516" s="176"/>
    </row>
    <row r="517" spans="1:5" ht="60" customHeight="1" x14ac:dyDescent="0.2">
      <c r="A517" s="219" t="s">
        <v>546</v>
      </c>
      <c r="B517" s="59" t="s">
        <v>133</v>
      </c>
      <c r="C517" s="166">
        <v>354.93</v>
      </c>
      <c r="D517" s="103">
        <v>449</v>
      </c>
      <c r="E517" s="117">
        <f t="shared" si="62"/>
        <v>466.96000000000004</v>
      </c>
    </row>
    <row r="518" spans="1:5" ht="43.5" customHeight="1" x14ac:dyDescent="0.2">
      <c r="A518" s="219" t="s">
        <v>738</v>
      </c>
      <c r="B518" s="59" t="s">
        <v>135</v>
      </c>
      <c r="C518" s="166">
        <v>70.239999999999995</v>
      </c>
      <c r="D518" s="103">
        <v>89</v>
      </c>
      <c r="E518" s="117">
        <f t="shared" si="62"/>
        <v>92.56</v>
      </c>
    </row>
    <row r="519" spans="1:5" ht="43.5" customHeight="1" x14ac:dyDescent="0.2">
      <c r="A519" s="219" t="s">
        <v>738</v>
      </c>
      <c r="B519" s="59" t="s">
        <v>252</v>
      </c>
      <c r="C519" s="166">
        <v>70.239999999999995</v>
      </c>
      <c r="D519" s="103">
        <v>177</v>
      </c>
      <c r="E519" s="117">
        <f t="shared" si="62"/>
        <v>184.08</v>
      </c>
    </row>
    <row r="520" spans="1:5" ht="84" customHeight="1" x14ac:dyDescent="0.2">
      <c r="A520" s="181" t="s">
        <v>624</v>
      </c>
      <c r="B520" s="63"/>
      <c r="C520" s="166"/>
      <c r="D520" s="76"/>
      <c r="E520" s="117">
        <f t="shared" si="62"/>
        <v>0</v>
      </c>
    </row>
    <row r="521" spans="1:5" ht="18.75" hidden="1" customHeight="1" x14ac:dyDescent="0.2">
      <c r="A521" s="65" t="s">
        <v>137</v>
      </c>
      <c r="B521" s="166" t="s">
        <v>138</v>
      </c>
      <c r="C521" s="166">
        <v>95.81</v>
      </c>
      <c r="D521" s="103">
        <f t="shared" ref="D521:D534" si="63">ROUND(C521*1.1,0)*1.15</f>
        <v>120.74999999999999</v>
      </c>
      <c r="E521" s="117">
        <f t="shared" si="62"/>
        <v>125.57999999999998</v>
      </c>
    </row>
    <row r="522" spans="1:5" ht="18.75" hidden="1" customHeight="1" x14ac:dyDescent="0.2">
      <c r="A522" s="65" t="s">
        <v>139</v>
      </c>
      <c r="B522" s="166" t="s">
        <v>138</v>
      </c>
      <c r="C522" s="166">
        <v>82.78</v>
      </c>
      <c r="D522" s="103">
        <f t="shared" si="63"/>
        <v>104.64999999999999</v>
      </c>
      <c r="E522" s="117">
        <f t="shared" si="62"/>
        <v>108.836</v>
      </c>
    </row>
    <row r="523" spans="1:5" ht="18.75" hidden="1" customHeight="1" x14ac:dyDescent="0.2">
      <c r="A523" s="65" t="s">
        <v>140</v>
      </c>
      <c r="B523" s="166" t="s">
        <v>138</v>
      </c>
      <c r="C523" s="166">
        <v>9.25</v>
      </c>
      <c r="D523" s="103">
        <f t="shared" si="63"/>
        <v>11.5</v>
      </c>
      <c r="E523" s="117">
        <f t="shared" si="62"/>
        <v>11.96</v>
      </c>
    </row>
    <row r="524" spans="1:5" ht="18.75" hidden="1" customHeight="1" x14ac:dyDescent="0.2">
      <c r="A524" s="65" t="s">
        <v>141</v>
      </c>
      <c r="B524" s="166" t="s">
        <v>138</v>
      </c>
      <c r="C524" s="166">
        <v>70.260000000000005</v>
      </c>
      <c r="D524" s="103">
        <f t="shared" si="63"/>
        <v>88.55</v>
      </c>
      <c r="E524" s="117">
        <f t="shared" si="62"/>
        <v>92.091999999999999</v>
      </c>
    </row>
    <row r="525" spans="1:5" ht="18.75" hidden="1" customHeight="1" x14ac:dyDescent="0.2">
      <c r="A525" s="65" t="s">
        <v>142</v>
      </c>
      <c r="B525" s="166" t="s">
        <v>138</v>
      </c>
      <c r="C525" s="166">
        <v>38.020000000000003</v>
      </c>
      <c r="D525" s="103">
        <f t="shared" si="63"/>
        <v>48.3</v>
      </c>
      <c r="E525" s="117">
        <f t="shared" si="62"/>
        <v>50.231999999999999</v>
      </c>
    </row>
    <row r="526" spans="1:5" ht="18.75" hidden="1" customHeight="1" x14ac:dyDescent="0.2">
      <c r="A526" s="65" t="s">
        <v>143</v>
      </c>
      <c r="B526" s="166" t="s">
        <v>138</v>
      </c>
      <c r="C526" s="166">
        <v>38.24</v>
      </c>
      <c r="D526" s="103">
        <f t="shared" si="63"/>
        <v>48.3</v>
      </c>
      <c r="E526" s="117">
        <f t="shared" si="62"/>
        <v>50.231999999999999</v>
      </c>
    </row>
    <row r="527" spans="1:5" s="146" customFormat="1" ht="45" customHeight="1" x14ac:dyDescent="0.25">
      <c r="A527" s="191" t="s">
        <v>730</v>
      </c>
      <c r="B527" s="166" t="s">
        <v>138</v>
      </c>
      <c r="C527" s="166">
        <v>46.61</v>
      </c>
      <c r="D527" s="103">
        <v>213</v>
      </c>
      <c r="E527" s="117">
        <f t="shared" si="62"/>
        <v>221.52</v>
      </c>
    </row>
    <row r="528" spans="1:5" ht="18.75" hidden="1" customHeight="1" x14ac:dyDescent="0.2">
      <c r="A528" s="217" t="s">
        <v>548</v>
      </c>
      <c r="B528" s="166" t="s">
        <v>138</v>
      </c>
      <c r="C528" s="166">
        <v>26.41</v>
      </c>
      <c r="D528" s="103">
        <f t="shared" si="63"/>
        <v>33.349999999999994</v>
      </c>
      <c r="E528" s="117">
        <f t="shared" si="62"/>
        <v>34.683999999999997</v>
      </c>
    </row>
    <row r="529" spans="1:30" ht="18.75" hidden="1" customHeight="1" x14ac:dyDescent="0.2">
      <c r="A529" s="217" t="s">
        <v>547</v>
      </c>
      <c r="B529" s="166" t="s">
        <v>138</v>
      </c>
      <c r="C529" s="166">
        <v>18.940000000000001</v>
      </c>
      <c r="D529" s="103">
        <f t="shared" si="63"/>
        <v>24.15</v>
      </c>
      <c r="E529" s="117">
        <f t="shared" si="62"/>
        <v>25.116</v>
      </c>
    </row>
    <row r="530" spans="1:30" ht="18.75" hidden="1" customHeight="1" x14ac:dyDescent="0.2">
      <c r="A530" s="217" t="s">
        <v>549</v>
      </c>
      <c r="B530" s="166" t="s">
        <v>637</v>
      </c>
      <c r="C530" s="166">
        <v>7.94</v>
      </c>
      <c r="D530" s="103">
        <f>ROUND(C530*1.1,0)*1.15*2</f>
        <v>20.7</v>
      </c>
      <c r="E530" s="117">
        <f t="shared" si="62"/>
        <v>21.527999999999999</v>
      </c>
    </row>
    <row r="531" spans="1:30" ht="18.75" hidden="1" customHeight="1" x14ac:dyDescent="0.2">
      <c r="A531" s="217" t="s">
        <v>550</v>
      </c>
      <c r="B531" s="166" t="s">
        <v>138</v>
      </c>
      <c r="C531" s="166">
        <v>20.079999999999998</v>
      </c>
      <c r="D531" s="103">
        <f t="shared" si="63"/>
        <v>25.299999999999997</v>
      </c>
      <c r="E531" s="117">
        <f t="shared" si="62"/>
        <v>26.311999999999998</v>
      </c>
    </row>
    <row r="532" spans="1:30" ht="18.75" hidden="1" customHeight="1" x14ac:dyDescent="0.2">
      <c r="A532" s="217" t="s">
        <v>551</v>
      </c>
      <c r="B532" s="166" t="s">
        <v>138</v>
      </c>
      <c r="C532" s="166">
        <v>11.28</v>
      </c>
      <c r="D532" s="103">
        <f t="shared" si="63"/>
        <v>13.799999999999999</v>
      </c>
      <c r="E532" s="117">
        <f t="shared" si="62"/>
        <v>14.351999999999999</v>
      </c>
    </row>
    <row r="533" spans="1:30" ht="18.75" hidden="1" customHeight="1" x14ac:dyDescent="0.2">
      <c r="A533" s="217" t="s">
        <v>552</v>
      </c>
      <c r="B533" s="166" t="s">
        <v>138</v>
      </c>
      <c r="C533" s="166">
        <v>20.04</v>
      </c>
      <c r="D533" s="103">
        <f t="shared" si="63"/>
        <v>25.299999999999997</v>
      </c>
      <c r="E533" s="117">
        <f t="shared" si="62"/>
        <v>26.311999999999998</v>
      </c>
    </row>
    <row r="534" spans="1:30" ht="18.75" hidden="1" customHeight="1" x14ac:dyDescent="0.2">
      <c r="A534" s="217" t="s">
        <v>553</v>
      </c>
      <c r="B534" s="166" t="s">
        <v>138</v>
      </c>
      <c r="C534" s="166">
        <v>19.09</v>
      </c>
      <c r="D534" s="103">
        <f t="shared" si="63"/>
        <v>24.15</v>
      </c>
      <c r="E534" s="117">
        <f t="shared" si="62"/>
        <v>25.116</v>
      </c>
    </row>
    <row r="535" spans="1:30" ht="18.75" hidden="1" customHeight="1" x14ac:dyDescent="0.2">
      <c r="A535" s="217" t="s">
        <v>152</v>
      </c>
      <c r="B535" s="166" t="s">
        <v>138</v>
      </c>
      <c r="C535" s="166">
        <v>20.21</v>
      </c>
      <c r="D535" s="103">
        <f t="shared" ref="D535:D539" si="64">ROUND(C535*1.1,0)</f>
        <v>22</v>
      </c>
      <c r="E535" s="117">
        <f t="shared" si="62"/>
        <v>22.880000000000003</v>
      </c>
    </row>
    <row r="536" spans="1:30" ht="18.75" hidden="1" customHeight="1" x14ac:dyDescent="0.2">
      <c r="A536" s="217" t="s">
        <v>638</v>
      </c>
      <c r="B536" s="166" t="s">
        <v>138</v>
      </c>
      <c r="C536" s="166">
        <v>18.850000000000001</v>
      </c>
      <c r="D536" s="103">
        <f>ROUND(C536*1.1,0)*1.15</f>
        <v>24.15</v>
      </c>
      <c r="E536" s="117">
        <f t="shared" si="62"/>
        <v>25.116</v>
      </c>
    </row>
    <row r="537" spans="1:30" ht="18.75" hidden="1" customHeight="1" x14ac:dyDescent="0.2">
      <c r="A537" s="217" t="s">
        <v>554</v>
      </c>
      <c r="B537" s="166" t="s">
        <v>138</v>
      </c>
      <c r="C537" s="166">
        <v>16.940000000000001</v>
      </c>
      <c r="D537" s="103">
        <f>ROUND(C537*1.1,0)*1.15</f>
        <v>21.849999999999998</v>
      </c>
      <c r="E537" s="117">
        <f t="shared" si="62"/>
        <v>22.724</v>
      </c>
      <c r="AB537" s="64"/>
    </row>
    <row r="538" spans="1:30" s="82" customFormat="1" ht="18.75" hidden="1" customHeight="1" x14ac:dyDescent="0.2">
      <c r="A538" s="220" t="s">
        <v>555</v>
      </c>
      <c r="B538" s="76" t="s">
        <v>138</v>
      </c>
      <c r="C538" s="76">
        <v>12.08</v>
      </c>
      <c r="D538" s="108">
        <f>ROUND(C538*1.1,0)*1.15</f>
        <v>14.95</v>
      </c>
      <c r="E538" s="117">
        <f t="shared" si="62"/>
        <v>15.548</v>
      </c>
      <c r="AB538" s="290" t="s">
        <v>639</v>
      </c>
      <c r="AC538" s="290"/>
      <c r="AD538" s="290"/>
    </row>
    <row r="539" spans="1:30" ht="18.75" hidden="1" customHeight="1" x14ac:dyDescent="0.2">
      <c r="A539" s="217" t="s">
        <v>156</v>
      </c>
      <c r="B539" s="166" t="s">
        <v>138</v>
      </c>
      <c r="C539" s="166">
        <v>35.270000000000003</v>
      </c>
      <c r="D539" s="103">
        <f t="shared" si="64"/>
        <v>39</v>
      </c>
      <c r="E539" s="117">
        <f t="shared" si="62"/>
        <v>40.56</v>
      </c>
    </row>
    <row r="540" spans="1:30" ht="62.25" customHeight="1" x14ac:dyDescent="0.2">
      <c r="A540" s="65" t="s">
        <v>556</v>
      </c>
      <c r="B540" s="65"/>
      <c r="C540" s="65"/>
      <c r="D540" s="76"/>
      <c r="E540" s="117">
        <f t="shared" si="62"/>
        <v>0</v>
      </c>
    </row>
    <row r="541" spans="1:30" ht="20.25" customHeight="1" x14ac:dyDescent="0.2">
      <c r="A541" s="65" t="s">
        <v>158</v>
      </c>
      <c r="B541" s="166" t="s">
        <v>32</v>
      </c>
      <c r="C541" s="166">
        <v>123.85</v>
      </c>
      <c r="D541" s="103">
        <v>156</v>
      </c>
      <c r="E541" s="117">
        <f t="shared" si="62"/>
        <v>162.24</v>
      </c>
    </row>
    <row r="542" spans="1:30" ht="20.25" customHeight="1" x14ac:dyDescent="0.2">
      <c r="A542" s="221" t="s">
        <v>557</v>
      </c>
      <c r="B542" s="166" t="s">
        <v>32</v>
      </c>
      <c r="C542" s="166"/>
      <c r="D542" s="103">
        <v>180</v>
      </c>
      <c r="E542" s="117">
        <f t="shared" si="62"/>
        <v>187.20000000000002</v>
      </c>
    </row>
    <row r="543" spans="1:30" ht="20.25" customHeight="1" x14ac:dyDescent="0.2">
      <c r="A543" s="222" t="s">
        <v>653</v>
      </c>
      <c r="B543" s="166" t="s">
        <v>32</v>
      </c>
      <c r="C543" s="166">
        <v>123.85</v>
      </c>
      <c r="D543" s="103">
        <v>156</v>
      </c>
      <c r="E543" s="117">
        <f t="shared" si="62"/>
        <v>162.24</v>
      </c>
    </row>
    <row r="544" spans="1:30" ht="20.25" customHeight="1" x14ac:dyDescent="0.2">
      <c r="A544" s="222" t="s">
        <v>731</v>
      </c>
      <c r="B544" s="166" t="s">
        <v>32</v>
      </c>
      <c r="C544" s="166"/>
      <c r="D544" s="103">
        <v>180</v>
      </c>
      <c r="E544" s="117">
        <f t="shared" si="62"/>
        <v>187.20000000000002</v>
      </c>
    </row>
    <row r="545" spans="1:28" ht="20.25" hidden="1" customHeight="1" x14ac:dyDescent="0.2">
      <c r="A545" s="65" t="s">
        <v>160</v>
      </c>
      <c r="B545" s="166"/>
      <c r="C545" s="166"/>
      <c r="D545" s="166"/>
      <c r="E545" s="117">
        <f t="shared" si="62"/>
        <v>0</v>
      </c>
    </row>
    <row r="546" spans="1:28" ht="20.25" hidden="1" customHeight="1" x14ac:dyDescent="0.2">
      <c r="A546" s="65" t="s">
        <v>161</v>
      </c>
      <c r="B546" s="166" t="s">
        <v>32</v>
      </c>
      <c r="C546" s="166">
        <v>40.729999999999997</v>
      </c>
      <c r="D546" s="103">
        <f t="shared" ref="D546:D547" si="65">ROUND(C546*1.1,0)</f>
        <v>45</v>
      </c>
      <c r="E546" s="117">
        <f t="shared" si="62"/>
        <v>46.800000000000004</v>
      </c>
    </row>
    <row r="547" spans="1:28" ht="21" hidden="1" customHeight="1" x14ac:dyDescent="0.2">
      <c r="A547" s="65" t="s">
        <v>162</v>
      </c>
      <c r="B547" s="166" t="s">
        <v>32</v>
      </c>
      <c r="C547" s="166">
        <v>20.37</v>
      </c>
      <c r="D547" s="103">
        <f t="shared" si="65"/>
        <v>22</v>
      </c>
      <c r="E547" s="117">
        <f t="shared" si="62"/>
        <v>22.880000000000003</v>
      </c>
    </row>
    <row r="548" spans="1:28" ht="21" customHeight="1" x14ac:dyDescent="0.2">
      <c r="A548" s="65" t="s">
        <v>160</v>
      </c>
      <c r="B548" s="166"/>
      <c r="C548" s="166"/>
      <c r="D548" s="103"/>
      <c r="E548" s="117">
        <f t="shared" si="62"/>
        <v>0</v>
      </c>
    </row>
    <row r="549" spans="1:28" ht="21" customHeight="1" x14ac:dyDescent="0.2">
      <c r="A549" s="181" t="s">
        <v>499</v>
      </c>
      <c r="B549" s="166" t="s">
        <v>32</v>
      </c>
      <c r="C549" s="166">
        <v>112.91</v>
      </c>
      <c r="D549" s="103">
        <v>143</v>
      </c>
      <c r="E549" s="117">
        <f t="shared" si="62"/>
        <v>148.72</v>
      </c>
    </row>
    <row r="550" spans="1:28" ht="21" customHeight="1" x14ac:dyDescent="0.2">
      <c r="A550" s="181" t="s">
        <v>500</v>
      </c>
      <c r="B550" s="166" t="s">
        <v>32</v>
      </c>
      <c r="C550" s="166">
        <v>41.28</v>
      </c>
      <c r="D550" s="103">
        <v>52</v>
      </c>
      <c r="E550" s="117">
        <f t="shared" si="62"/>
        <v>54.08</v>
      </c>
    </row>
    <row r="551" spans="1:28" ht="21" customHeight="1" x14ac:dyDescent="0.2">
      <c r="A551" s="65" t="s">
        <v>558</v>
      </c>
      <c r="B551" s="166" t="s">
        <v>88</v>
      </c>
      <c r="C551" s="166"/>
      <c r="D551" s="176">
        <v>48</v>
      </c>
      <c r="E551" s="117">
        <f t="shared" ref="E551" si="66">D551*1.04</f>
        <v>49.92</v>
      </c>
      <c r="AB551" s="71"/>
    </row>
    <row r="552" spans="1:28" ht="21" hidden="1" customHeight="1" x14ac:dyDescent="0.2">
      <c r="A552" s="65" t="s">
        <v>166</v>
      </c>
      <c r="B552" s="166" t="s">
        <v>88</v>
      </c>
      <c r="C552" s="166">
        <v>20.52</v>
      </c>
      <c r="D552" s="103">
        <f t="shared" ref="D552:D553" si="67">ROUND(C552*1.1,0)</f>
        <v>23</v>
      </c>
      <c r="E552" s="176"/>
    </row>
    <row r="553" spans="1:28" ht="21" hidden="1" customHeight="1" x14ac:dyDescent="0.2">
      <c r="A553" s="65" t="s">
        <v>167</v>
      </c>
      <c r="B553" s="166" t="s">
        <v>88</v>
      </c>
      <c r="C553" s="166">
        <v>17.100000000000001</v>
      </c>
      <c r="D553" s="103">
        <f t="shared" si="67"/>
        <v>19</v>
      </c>
      <c r="E553" s="176"/>
    </row>
    <row r="554" spans="1:28" ht="161.25" customHeight="1" x14ac:dyDescent="0.2">
      <c r="A554" s="181" t="s">
        <v>559</v>
      </c>
      <c r="B554" s="76"/>
      <c r="C554" s="166"/>
      <c r="D554" s="76"/>
      <c r="E554" s="189"/>
    </row>
    <row r="555" spans="1:28" ht="57" customHeight="1" x14ac:dyDescent="0.2">
      <c r="A555" s="65" t="s">
        <v>503</v>
      </c>
      <c r="B555" s="128" t="s">
        <v>604</v>
      </c>
      <c r="C555" s="166">
        <v>42.66</v>
      </c>
      <c r="D555" s="103">
        <v>54</v>
      </c>
      <c r="E555" s="117">
        <f t="shared" ref="E555:E559" si="68">D555*1.04</f>
        <v>56.160000000000004</v>
      </c>
    </row>
    <row r="556" spans="1:28" ht="63" customHeight="1" x14ac:dyDescent="0.2">
      <c r="A556" s="65" t="s">
        <v>169</v>
      </c>
      <c r="B556" s="128" t="s">
        <v>604</v>
      </c>
      <c r="C556" s="166">
        <v>42.09</v>
      </c>
      <c r="D556" s="103">
        <v>53</v>
      </c>
      <c r="E556" s="117">
        <f t="shared" si="68"/>
        <v>55.120000000000005</v>
      </c>
    </row>
    <row r="557" spans="1:28" ht="66" customHeight="1" x14ac:dyDescent="0.2">
      <c r="A557" s="65" t="s">
        <v>504</v>
      </c>
      <c r="B557" s="128" t="s">
        <v>604</v>
      </c>
      <c r="C557" s="166">
        <v>20.64</v>
      </c>
      <c r="D557" s="103">
        <v>26</v>
      </c>
      <c r="E557" s="117">
        <f t="shared" si="68"/>
        <v>27.04</v>
      </c>
      <c r="AB557" s="71"/>
    </row>
    <row r="558" spans="1:28" ht="69.75" customHeight="1" x14ac:dyDescent="0.2">
      <c r="A558" s="65" t="s">
        <v>177</v>
      </c>
      <c r="B558" s="128" t="s">
        <v>604</v>
      </c>
      <c r="C558" s="166">
        <v>8.5299999999999994</v>
      </c>
      <c r="D558" s="103">
        <v>10</v>
      </c>
      <c r="E558" s="117">
        <f t="shared" si="68"/>
        <v>10.4</v>
      </c>
    </row>
    <row r="559" spans="1:28" ht="75.75" customHeight="1" x14ac:dyDescent="0.2">
      <c r="A559" s="181" t="s">
        <v>560</v>
      </c>
      <c r="B559" s="128" t="s">
        <v>604</v>
      </c>
      <c r="C559" s="166">
        <v>41.28</v>
      </c>
      <c r="D559" s="103">
        <v>64</v>
      </c>
      <c r="E559" s="117">
        <f t="shared" si="68"/>
        <v>66.56</v>
      </c>
    </row>
    <row r="560" spans="1:28" ht="92.25" customHeight="1" x14ac:dyDescent="0.2">
      <c r="A560" s="223" t="s">
        <v>561</v>
      </c>
      <c r="B560" s="128" t="s">
        <v>32</v>
      </c>
      <c r="C560" s="166"/>
      <c r="D560" s="103">
        <v>39</v>
      </c>
      <c r="E560" s="117">
        <f t="shared" ref="E560:E570" si="69">D560*1.04</f>
        <v>40.56</v>
      </c>
      <c r="AB560" s="71"/>
    </row>
    <row r="561" spans="1:28" ht="145.5" customHeight="1" x14ac:dyDescent="0.2">
      <c r="A561" s="181" t="s">
        <v>562</v>
      </c>
      <c r="B561" s="76"/>
      <c r="C561" s="166"/>
      <c r="D561" s="76"/>
      <c r="E561" s="189"/>
      <c r="AB561" s="299"/>
    </row>
    <row r="562" spans="1:28" ht="43.5" customHeight="1" x14ac:dyDescent="0.2">
      <c r="A562" s="181" t="s">
        <v>505</v>
      </c>
      <c r="B562" s="128" t="s">
        <v>604</v>
      </c>
      <c r="C562" s="166">
        <v>41.28</v>
      </c>
      <c r="D562" s="103">
        <v>52</v>
      </c>
      <c r="E562" s="117">
        <f t="shared" si="69"/>
        <v>54.08</v>
      </c>
      <c r="AB562" s="299"/>
    </row>
    <row r="563" spans="1:28" ht="36.75" customHeight="1" x14ac:dyDescent="0.2">
      <c r="A563" s="181" t="s">
        <v>509</v>
      </c>
      <c r="B563" s="128" t="s">
        <v>604</v>
      </c>
      <c r="C563" s="166">
        <v>41.28</v>
      </c>
      <c r="D563" s="103">
        <v>52</v>
      </c>
      <c r="E563" s="117">
        <f t="shared" si="69"/>
        <v>54.08</v>
      </c>
      <c r="AB563" s="299"/>
    </row>
    <row r="564" spans="1:28" ht="33.75" customHeight="1" x14ac:dyDescent="0.2">
      <c r="A564" s="65" t="s">
        <v>173</v>
      </c>
      <c r="B564" s="128" t="s">
        <v>604</v>
      </c>
      <c r="C564" s="166">
        <v>61.93</v>
      </c>
      <c r="D564" s="103">
        <v>78</v>
      </c>
      <c r="E564" s="117">
        <f t="shared" si="69"/>
        <v>81.12</v>
      </c>
      <c r="AB564" s="299"/>
    </row>
    <row r="565" spans="1:28" ht="43.5" customHeight="1" x14ac:dyDescent="0.2">
      <c r="A565" s="181" t="s">
        <v>563</v>
      </c>
      <c r="B565" s="128" t="s">
        <v>604</v>
      </c>
      <c r="C565" s="166">
        <v>20.64</v>
      </c>
      <c r="D565" s="103">
        <v>26</v>
      </c>
      <c r="E565" s="117">
        <f t="shared" si="69"/>
        <v>27.04</v>
      </c>
      <c r="AB565" s="299"/>
    </row>
    <row r="566" spans="1:28" ht="46.5" customHeight="1" x14ac:dyDescent="0.2">
      <c r="A566" s="65" t="s">
        <v>176</v>
      </c>
      <c r="B566" s="128" t="s">
        <v>642</v>
      </c>
      <c r="C566" s="166">
        <v>21.33</v>
      </c>
      <c r="D566" s="103">
        <v>26</v>
      </c>
      <c r="E566" s="117">
        <f t="shared" si="69"/>
        <v>27.04</v>
      </c>
      <c r="AB566" s="299"/>
    </row>
    <row r="567" spans="1:28" ht="44.25" customHeight="1" x14ac:dyDescent="0.2">
      <c r="A567" s="181" t="s">
        <v>564</v>
      </c>
      <c r="B567" s="166" t="s">
        <v>32</v>
      </c>
      <c r="C567" s="166">
        <v>245.81</v>
      </c>
      <c r="D567" s="103">
        <v>311</v>
      </c>
      <c r="E567" s="117">
        <f t="shared" si="69"/>
        <v>323.44</v>
      </c>
    </row>
    <row r="568" spans="1:28" ht="44.25" customHeight="1" x14ac:dyDescent="0.2">
      <c r="A568" s="224" t="s">
        <v>565</v>
      </c>
      <c r="B568" s="166" t="s">
        <v>32</v>
      </c>
      <c r="C568" s="166"/>
      <c r="D568" s="103">
        <v>377</v>
      </c>
      <c r="E568" s="117">
        <f t="shared" si="69"/>
        <v>392.08000000000004</v>
      </c>
      <c r="AB568" s="135"/>
    </row>
    <row r="569" spans="1:28" ht="18" customHeight="1" x14ac:dyDescent="0.2">
      <c r="A569" s="181" t="s">
        <v>468</v>
      </c>
      <c r="B569" s="166" t="s">
        <v>32</v>
      </c>
      <c r="C569" s="166">
        <v>103.21</v>
      </c>
      <c r="D569" s="103">
        <v>131</v>
      </c>
      <c r="E569" s="117">
        <f t="shared" si="69"/>
        <v>136.24</v>
      </c>
    </row>
    <row r="570" spans="1:28" ht="76.5" customHeight="1" x14ac:dyDescent="0.2">
      <c r="A570" s="225" t="s">
        <v>512</v>
      </c>
      <c r="B570" s="166" t="s">
        <v>32</v>
      </c>
      <c r="C570" s="166"/>
      <c r="D570" s="103">
        <v>62</v>
      </c>
      <c r="E570" s="117">
        <f t="shared" si="69"/>
        <v>64.48</v>
      </c>
      <c r="AB570" s="71"/>
    </row>
    <row r="571" spans="1:28" ht="35.25" customHeight="1" x14ac:dyDescent="0.2">
      <c r="A571" s="181" t="s">
        <v>513</v>
      </c>
      <c r="B571" s="166" t="s">
        <v>32</v>
      </c>
      <c r="C571" s="166">
        <v>147.01</v>
      </c>
      <c r="D571" s="103">
        <v>186</v>
      </c>
      <c r="E571" s="117">
        <f t="shared" ref="E571:E579" si="70">D571*1.04</f>
        <v>193.44</v>
      </c>
    </row>
    <row r="572" spans="1:28" ht="21" customHeight="1" x14ac:dyDescent="0.25">
      <c r="A572" s="259" t="s">
        <v>91</v>
      </c>
      <c r="B572" s="259"/>
      <c r="C572" s="259"/>
      <c r="D572" s="259"/>
      <c r="E572" s="190"/>
    </row>
    <row r="573" spans="1:28" ht="54.75" customHeight="1" x14ac:dyDescent="0.2">
      <c r="A573" s="226" t="s">
        <v>566</v>
      </c>
      <c r="B573" s="166" t="s">
        <v>32</v>
      </c>
      <c r="C573" s="166">
        <v>191.25</v>
      </c>
      <c r="D573" s="103">
        <v>242</v>
      </c>
      <c r="E573" s="117">
        <f t="shared" si="70"/>
        <v>251.68</v>
      </c>
    </row>
    <row r="574" spans="1:28" ht="102.75" customHeight="1" x14ac:dyDescent="0.2">
      <c r="A574" s="181" t="s">
        <v>567</v>
      </c>
      <c r="B574" s="76"/>
      <c r="C574" s="166"/>
      <c r="D574" s="76"/>
      <c r="E574" s="189"/>
      <c r="AB574" s="91"/>
    </row>
    <row r="575" spans="1:28" ht="75" customHeight="1" x14ac:dyDescent="0.2">
      <c r="A575" s="181" t="s">
        <v>522</v>
      </c>
      <c r="B575" s="143" t="s">
        <v>732</v>
      </c>
      <c r="C575" s="166">
        <v>43.49</v>
      </c>
      <c r="D575" s="103">
        <v>55</v>
      </c>
      <c r="E575" s="117">
        <f t="shared" si="70"/>
        <v>57.2</v>
      </c>
    </row>
    <row r="576" spans="1:28" ht="61.5" customHeight="1" x14ac:dyDescent="0.2">
      <c r="A576" s="181" t="s">
        <v>568</v>
      </c>
      <c r="B576" s="143" t="s">
        <v>732</v>
      </c>
      <c r="C576" s="166"/>
      <c r="D576" s="103">
        <v>81</v>
      </c>
      <c r="E576" s="117">
        <f t="shared" si="70"/>
        <v>84.240000000000009</v>
      </c>
    </row>
    <row r="577" spans="1:5" ht="90.75" customHeight="1" x14ac:dyDescent="0.2">
      <c r="A577" s="181" t="s">
        <v>569</v>
      </c>
      <c r="B577" s="143" t="s">
        <v>717</v>
      </c>
      <c r="C577" s="166"/>
      <c r="D577" s="103">
        <v>43</v>
      </c>
      <c r="E577" s="117">
        <f t="shared" si="70"/>
        <v>44.72</v>
      </c>
    </row>
    <row r="578" spans="1:5" ht="102.75" customHeight="1" x14ac:dyDescent="0.2">
      <c r="A578" s="227" t="s">
        <v>626</v>
      </c>
      <c r="B578" s="143" t="s">
        <v>733</v>
      </c>
      <c r="C578" s="166">
        <v>23.91</v>
      </c>
      <c r="D578" s="103">
        <v>30</v>
      </c>
      <c r="E578" s="117">
        <f t="shared" si="70"/>
        <v>31.200000000000003</v>
      </c>
    </row>
    <row r="579" spans="1:5" ht="123.75" customHeight="1" x14ac:dyDescent="0.2">
      <c r="A579" s="226" t="s">
        <v>410</v>
      </c>
      <c r="B579" s="166" t="s">
        <v>32</v>
      </c>
      <c r="C579" s="166">
        <v>74.63</v>
      </c>
      <c r="D579" s="103">
        <v>94</v>
      </c>
      <c r="E579" s="117">
        <f t="shared" si="70"/>
        <v>97.76</v>
      </c>
    </row>
    <row r="580" spans="1:5" ht="85.5" customHeight="1" x14ac:dyDescent="0.2">
      <c r="A580" s="181" t="s">
        <v>525</v>
      </c>
      <c r="B580" s="166" t="s">
        <v>32</v>
      </c>
      <c r="C580" s="166"/>
      <c r="D580" s="103">
        <v>26</v>
      </c>
      <c r="E580" s="117">
        <f t="shared" ref="E580:E589" si="71">D580*1.04</f>
        <v>27.04</v>
      </c>
    </row>
    <row r="581" spans="1:5" ht="45.75" customHeight="1" x14ac:dyDescent="0.2">
      <c r="A581" s="181" t="s">
        <v>632</v>
      </c>
      <c r="B581" s="89"/>
      <c r="C581" s="166"/>
      <c r="D581" s="103"/>
      <c r="E581" s="176"/>
    </row>
    <row r="582" spans="1:5" ht="61.5" customHeight="1" x14ac:dyDescent="0.2">
      <c r="A582" s="228" t="s">
        <v>633</v>
      </c>
      <c r="B582" s="166" t="s">
        <v>32</v>
      </c>
      <c r="C582" s="166"/>
      <c r="D582" s="103">
        <v>377</v>
      </c>
      <c r="E582" s="117">
        <f t="shared" si="71"/>
        <v>392.08000000000004</v>
      </c>
    </row>
    <row r="583" spans="1:5" ht="64.5" customHeight="1" x14ac:dyDescent="0.2">
      <c r="A583" s="228" t="s">
        <v>634</v>
      </c>
      <c r="B583" s="166" t="s">
        <v>32</v>
      </c>
      <c r="C583" s="166"/>
      <c r="D583" s="103">
        <v>355</v>
      </c>
      <c r="E583" s="117">
        <f t="shared" si="71"/>
        <v>369.2</v>
      </c>
    </row>
    <row r="584" spans="1:5" ht="75.75" customHeight="1" x14ac:dyDescent="0.2">
      <c r="A584" s="181" t="s">
        <v>635</v>
      </c>
      <c r="B584" s="166" t="s">
        <v>32</v>
      </c>
      <c r="C584" s="166"/>
      <c r="D584" s="103">
        <v>189</v>
      </c>
      <c r="E584" s="117">
        <f t="shared" si="71"/>
        <v>196.56</v>
      </c>
    </row>
    <row r="585" spans="1:5" ht="30" customHeight="1" x14ac:dyDescent="0.2">
      <c r="A585" s="65" t="s">
        <v>627</v>
      </c>
      <c r="B585" s="166" t="s">
        <v>32</v>
      </c>
      <c r="C585" s="166">
        <v>199.02</v>
      </c>
      <c r="D585" s="103">
        <v>252</v>
      </c>
      <c r="E585" s="117">
        <f t="shared" si="71"/>
        <v>262.08</v>
      </c>
    </row>
    <row r="586" spans="1:5" ht="76.5" customHeight="1" x14ac:dyDescent="0.2">
      <c r="A586" s="229" t="s">
        <v>628</v>
      </c>
      <c r="B586" s="166" t="s">
        <v>32</v>
      </c>
      <c r="C586" s="166">
        <v>280.76</v>
      </c>
      <c r="D586" s="103">
        <v>355</v>
      </c>
      <c r="E586" s="117">
        <f t="shared" si="71"/>
        <v>369.2</v>
      </c>
    </row>
    <row r="587" spans="1:5" ht="26.25" customHeight="1" x14ac:dyDescent="0.2">
      <c r="A587" s="217" t="s">
        <v>630</v>
      </c>
      <c r="B587" s="166" t="s">
        <v>32</v>
      </c>
      <c r="C587" s="166">
        <v>298.54000000000002</v>
      </c>
      <c r="D587" s="103">
        <v>377</v>
      </c>
      <c r="E587" s="117">
        <f t="shared" si="71"/>
        <v>392.08000000000004</v>
      </c>
    </row>
    <row r="588" spans="1:5" s="82" customFormat="1" ht="34.5" customHeight="1" x14ac:dyDescent="0.2">
      <c r="A588" s="217" t="s">
        <v>217</v>
      </c>
      <c r="B588" s="166" t="s">
        <v>32</v>
      </c>
      <c r="C588" s="166">
        <v>24.88</v>
      </c>
      <c r="D588" s="103">
        <v>31</v>
      </c>
      <c r="E588" s="117">
        <f t="shared" si="71"/>
        <v>32.24</v>
      </c>
    </row>
    <row r="589" spans="1:5" ht="74.25" customHeight="1" x14ac:dyDescent="0.2">
      <c r="A589" s="230" t="s">
        <v>629</v>
      </c>
      <c r="B589" s="166" t="s">
        <v>32</v>
      </c>
      <c r="C589" s="166"/>
      <c r="D589" s="103">
        <v>355</v>
      </c>
      <c r="E589" s="117">
        <f t="shared" si="71"/>
        <v>369.2</v>
      </c>
    </row>
    <row r="590" spans="1:5" ht="49.5" customHeight="1" x14ac:dyDescent="0.2">
      <c r="A590" s="231" t="s">
        <v>630</v>
      </c>
      <c r="B590" s="166" t="s">
        <v>32</v>
      </c>
      <c r="C590" s="166"/>
      <c r="D590" s="103">
        <v>377</v>
      </c>
      <c r="E590" s="117">
        <f t="shared" ref="E590:E601" si="72">D590*1.04</f>
        <v>392.08000000000004</v>
      </c>
    </row>
    <row r="591" spans="1:5" ht="61.5" customHeight="1" x14ac:dyDescent="0.2">
      <c r="A591" s="232" t="s">
        <v>570</v>
      </c>
      <c r="B591" s="166"/>
      <c r="C591" s="166"/>
      <c r="D591" s="166"/>
      <c r="E591" s="176"/>
    </row>
    <row r="592" spans="1:5" ht="61.5" customHeight="1" x14ac:dyDescent="0.2">
      <c r="A592" s="232" t="s">
        <v>625</v>
      </c>
      <c r="B592" s="166" t="s">
        <v>32</v>
      </c>
      <c r="C592" s="166">
        <v>149.27000000000001</v>
      </c>
      <c r="D592" s="103">
        <v>189</v>
      </c>
      <c r="E592" s="117">
        <f t="shared" si="72"/>
        <v>196.56</v>
      </c>
    </row>
    <row r="593" spans="1:5" ht="94.5" customHeight="1" x14ac:dyDescent="0.2">
      <c r="A593" s="142" t="s">
        <v>571</v>
      </c>
      <c r="B593" s="166" t="s">
        <v>32</v>
      </c>
      <c r="C593" s="166"/>
      <c r="D593" s="103">
        <v>377</v>
      </c>
      <c r="E593" s="117">
        <f t="shared" si="72"/>
        <v>392.08000000000004</v>
      </c>
    </row>
    <row r="594" spans="1:5" ht="77.25" customHeight="1" x14ac:dyDescent="0.2">
      <c r="A594" s="181" t="s">
        <v>572</v>
      </c>
      <c r="B594" s="166"/>
      <c r="C594" s="166"/>
      <c r="D594" s="166"/>
      <c r="E594" s="176"/>
    </row>
    <row r="595" spans="1:5" ht="78" customHeight="1" x14ac:dyDescent="0.2">
      <c r="A595" s="233" t="s">
        <v>574</v>
      </c>
      <c r="B595" s="166" t="s">
        <v>32</v>
      </c>
      <c r="C595" s="166">
        <v>199.02</v>
      </c>
      <c r="D595" s="103">
        <v>252</v>
      </c>
      <c r="E595" s="117">
        <f t="shared" si="72"/>
        <v>262.08</v>
      </c>
    </row>
    <row r="596" spans="1:5" ht="103.5" customHeight="1" x14ac:dyDescent="0.2">
      <c r="A596" s="233" t="s">
        <v>573</v>
      </c>
      <c r="B596" s="166" t="s">
        <v>32</v>
      </c>
      <c r="C596" s="166">
        <v>298.54000000000002</v>
      </c>
      <c r="D596" s="103">
        <v>377</v>
      </c>
      <c r="E596" s="117">
        <f t="shared" si="72"/>
        <v>392.08000000000004</v>
      </c>
    </row>
    <row r="597" spans="1:5" ht="23.25" customHeight="1" x14ac:dyDescent="0.25">
      <c r="A597" s="259" t="s">
        <v>422</v>
      </c>
      <c r="B597" s="259"/>
      <c r="C597" s="259"/>
      <c r="D597" s="259"/>
      <c r="E597" s="259"/>
    </row>
    <row r="598" spans="1:5" ht="98.25" customHeight="1" x14ac:dyDescent="0.2">
      <c r="A598" s="181" t="s">
        <v>636</v>
      </c>
      <c r="B598" s="166" t="s">
        <v>644</v>
      </c>
      <c r="C598" s="166"/>
      <c r="D598" s="103">
        <v>202</v>
      </c>
      <c r="E598" s="117">
        <f t="shared" si="72"/>
        <v>210.08</v>
      </c>
    </row>
    <row r="599" spans="1:5" ht="21" customHeight="1" x14ac:dyDescent="0.25">
      <c r="A599" s="259" t="s">
        <v>73</v>
      </c>
      <c r="B599" s="259"/>
      <c r="C599" s="259"/>
      <c r="D599" s="259"/>
      <c r="E599" s="259"/>
    </row>
    <row r="600" spans="1:5" ht="31.5" customHeight="1" x14ac:dyDescent="0.2">
      <c r="A600" s="181" t="s">
        <v>575</v>
      </c>
      <c r="B600" s="166" t="s">
        <v>32</v>
      </c>
      <c r="C600" s="160"/>
      <c r="D600" s="176">
        <v>394</v>
      </c>
      <c r="E600" s="117">
        <f t="shared" si="72"/>
        <v>409.76</v>
      </c>
    </row>
    <row r="601" spans="1:5" ht="20.25" customHeight="1" x14ac:dyDescent="0.2">
      <c r="A601" s="181" t="s">
        <v>389</v>
      </c>
      <c r="B601" s="166" t="s">
        <v>32</v>
      </c>
      <c r="C601" s="166">
        <v>312.20999999999998</v>
      </c>
      <c r="D601" s="103">
        <v>394</v>
      </c>
      <c r="E601" s="117">
        <f t="shared" si="72"/>
        <v>409.76</v>
      </c>
    </row>
    <row r="602" spans="1:5" ht="20.25" customHeight="1" x14ac:dyDescent="0.2">
      <c r="A602" s="226" t="s">
        <v>537</v>
      </c>
      <c r="B602" s="166" t="s">
        <v>32</v>
      </c>
      <c r="C602" s="166">
        <v>312.20999999999998</v>
      </c>
      <c r="D602" s="103">
        <v>394</v>
      </c>
      <c r="E602" s="117">
        <f>D602*1.04</f>
        <v>409.76</v>
      </c>
    </row>
    <row r="603" spans="1:5" ht="24" customHeight="1" x14ac:dyDescent="0.25">
      <c r="A603" s="259" t="s">
        <v>235</v>
      </c>
      <c r="B603" s="259"/>
      <c r="C603" s="259"/>
      <c r="D603" s="259"/>
      <c r="E603" s="259"/>
    </row>
    <row r="604" spans="1:5" s="82" customFormat="1" ht="63.75" customHeight="1" x14ac:dyDescent="0.2">
      <c r="A604" s="221" t="s">
        <v>482</v>
      </c>
      <c r="B604" s="166" t="s">
        <v>32</v>
      </c>
      <c r="C604" s="166">
        <v>265.58</v>
      </c>
      <c r="D604" s="103">
        <v>186</v>
      </c>
      <c r="E604" s="117">
        <f>D604*1.04</f>
        <v>193.44</v>
      </c>
    </row>
    <row r="605" spans="1:5" ht="21.75" customHeight="1" x14ac:dyDescent="0.25">
      <c r="A605" s="259" t="s">
        <v>75</v>
      </c>
      <c r="B605" s="259"/>
      <c r="C605" s="259"/>
      <c r="D605" s="259"/>
      <c r="E605" s="259"/>
    </row>
    <row r="606" spans="1:5" ht="63" customHeight="1" x14ac:dyDescent="0.2">
      <c r="A606" s="181" t="s">
        <v>540</v>
      </c>
      <c r="B606" s="166" t="s">
        <v>32</v>
      </c>
      <c r="C606" s="166">
        <v>308.83999999999997</v>
      </c>
      <c r="D606" s="103">
        <v>391</v>
      </c>
      <c r="E606" s="117">
        <f>D606*1.04</f>
        <v>406.64</v>
      </c>
    </row>
    <row r="607" spans="1:5" ht="43.5" customHeight="1" x14ac:dyDescent="0.2">
      <c r="A607" s="224" t="s">
        <v>413</v>
      </c>
      <c r="B607" s="166" t="s">
        <v>32</v>
      </c>
      <c r="C607" s="166">
        <v>308.83999999999997</v>
      </c>
      <c r="D607" s="103">
        <v>391</v>
      </c>
      <c r="E607" s="117">
        <f>D607*1.04</f>
        <v>406.64</v>
      </c>
    </row>
    <row r="608" spans="1:5" ht="63.75" customHeight="1" x14ac:dyDescent="0.25">
      <c r="A608" s="277" t="s">
        <v>576</v>
      </c>
      <c r="B608" s="277"/>
      <c r="C608" s="277"/>
      <c r="D608" s="277"/>
      <c r="E608" s="277"/>
    </row>
    <row r="609" spans="1:5" ht="77.25" customHeight="1" x14ac:dyDescent="0.2">
      <c r="A609" s="181" t="s">
        <v>631</v>
      </c>
      <c r="B609" s="166" t="s">
        <v>32</v>
      </c>
      <c r="C609" s="75"/>
      <c r="D609" s="46">
        <v>391</v>
      </c>
      <c r="E609" s="117">
        <f>D609*1.04</f>
        <v>406.64</v>
      </c>
    </row>
    <row r="610" spans="1:5" ht="79.5" customHeight="1" x14ac:dyDescent="0.2"/>
  </sheetData>
  <mergeCells count="103">
    <mergeCell ref="A502:E502"/>
    <mergeCell ref="AB76:AB77"/>
    <mergeCell ref="G5:G6"/>
    <mergeCell ref="AB561:AB566"/>
    <mergeCell ref="N5:N6"/>
    <mergeCell ref="S5:S6"/>
    <mergeCell ref="H5:H6"/>
    <mergeCell ref="I5:I6"/>
    <mergeCell ref="J5:J6"/>
    <mergeCell ref="K5:K6"/>
    <mergeCell ref="L5:L6"/>
    <mergeCell ref="P5:P6"/>
    <mergeCell ref="M5:M6"/>
    <mergeCell ref="R5:R6"/>
    <mergeCell ref="O5:O6"/>
    <mergeCell ref="T5:T6"/>
    <mergeCell ref="U5:U6"/>
    <mergeCell ref="V5:V6"/>
    <mergeCell ref="W5:W6"/>
    <mergeCell ref="X5:X6"/>
    <mergeCell ref="Y5:Y6"/>
    <mergeCell ref="Z5:Z6"/>
    <mergeCell ref="M139:M140"/>
    <mergeCell ref="A1:D1"/>
    <mergeCell ref="A353:D353"/>
    <mergeCell ref="A5:A6"/>
    <mergeCell ref="B5:B6"/>
    <mergeCell ref="AB242:AB243"/>
    <mergeCell ref="AB538:AD538"/>
    <mergeCell ref="AB131:AB136"/>
    <mergeCell ref="A137:A138"/>
    <mergeCell ref="B137:B138"/>
    <mergeCell ref="D137:D138"/>
    <mergeCell ref="F5:F6"/>
    <mergeCell ref="A8:C8"/>
    <mergeCell ref="A7:C7"/>
    <mergeCell ref="Q5:Q6"/>
    <mergeCell ref="A442:D442"/>
    <mergeCell ref="C5:C6"/>
    <mergeCell ref="D5:D6"/>
    <mergeCell ref="A168:E168"/>
    <mergeCell ref="A165:E165"/>
    <mergeCell ref="A171:E171"/>
    <mergeCell ref="A174:E174"/>
    <mergeCell ref="A178:E178"/>
    <mergeCell ref="A179:E179"/>
    <mergeCell ref="A121:E121"/>
    <mergeCell ref="A501:E501"/>
    <mergeCell ref="A497:E497"/>
    <mergeCell ref="A493:E493"/>
    <mergeCell ref="AA5:AA6"/>
    <mergeCell ref="X139:X140"/>
    <mergeCell ref="Y139:Y140"/>
    <mergeCell ref="Z139:Z140"/>
    <mergeCell ref="AA139:AA140"/>
    <mergeCell ref="A161:E161"/>
    <mergeCell ref="S139:S140"/>
    <mergeCell ref="T139:T140"/>
    <mergeCell ref="U139:U140"/>
    <mergeCell ref="V139:V140"/>
    <mergeCell ref="W139:W140"/>
    <mergeCell ref="N139:N140"/>
    <mergeCell ref="O139:O140"/>
    <mergeCell ref="P139:P140"/>
    <mergeCell ref="Q139:Q140"/>
    <mergeCell ref="R139:R140"/>
    <mergeCell ref="I139:I140"/>
    <mergeCell ref="J139:J140"/>
    <mergeCell ref="K139:K140"/>
    <mergeCell ref="L139:L140"/>
    <mergeCell ref="E139:E140"/>
    <mergeCell ref="F139:F140"/>
    <mergeCell ref="G139:G140"/>
    <mergeCell ref="H139:H140"/>
    <mergeCell ref="A488:E488"/>
    <mergeCell ref="A473:E473"/>
    <mergeCell ref="A446:E446"/>
    <mergeCell ref="A445:E445"/>
    <mergeCell ref="A437:E437"/>
    <mergeCell ref="A608:E608"/>
    <mergeCell ref="A605:E605"/>
    <mergeCell ref="A603:E603"/>
    <mergeCell ref="A599:E599"/>
    <mergeCell ref="A597:E597"/>
    <mergeCell ref="A572:D572"/>
    <mergeCell ref="A3:E3"/>
    <mergeCell ref="A364:E364"/>
    <mergeCell ref="A365:E365"/>
    <mergeCell ref="A461:E461"/>
    <mergeCell ref="A358:E358"/>
    <mergeCell ref="A355:E355"/>
    <mergeCell ref="A345:E345"/>
    <mergeCell ref="A341:E341"/>
    <mergeCell ref="A279:E279"/>
    <mergeCell ref="A431:E431"/>
    <mergeCell ref="A418:E418"/>
    <mergeCell ref="A404:E404"/>
    <mergeCell ref="A366:E366"/>
    <mergeCell ref="A361:E361"/>
    <mergeCell ref="E5:E6"/>
    <mergeCell ref="E137:E138"/>
    <mergeCell ref="A9:E9"/>
    <mergeCell ref="A10:E10"/>
  </mergeCells>
  <phoneticPr fontId="15" type="noConversion"/>
  <conditionalFormatting sqref="B8:D8 AC16 B169:D170 D354 D447:D460 D462:D472 D474:D487 D489:D492 D494:D496 D498:D500 B606:D607 B419:D430 B432:D436 B443:D444 F5:AA31 B139:D139 C138 B137:D137 C140:D140 C143:D144 B145:D146 C148:D148 B151:D151 F143:AA148 B153:D159 B162:D164 B166:D166 B172:D173 B600:D602 B101:D120 B503:D518 B400:D403 B399:C399 B438:D441 B53:D54 F161:AA166 B122:D123 F168:AA173 C177:D177 B541:C556 C557 B561:D571 B604:D604 B598:D598 B573:D574 C132:C136 F177:AA261 D180:D261 D263:D278 D296:D302 D304:D307 D309:D311 D313 D317 D320:D325 D327:D329 D332:D340 D342:D344 D346:D352 D356:D357 D359:D360 F356:AA363 D362:D363 B405:D417 B58:D97 C98:D100 B127:D129 C124:D126 B131:D131 C130:D130 D280:D294 C558:D560 B557:B560 B579:D596 C575:D578 D520:D557 B520:C539 B367:D398 F58:AA138 F263:AA354 F53:AA54 F153:AA159 F151:AA151 B11:D31">
    <cfRule type="containsText" dxfId="169" priority="229" stopIfTrue="1" operator="containsText" text="#ЗНАЧ!">
      <formula>NOT(ISERROR(SEARCH("#ЗНАЧ!",B5)))</formula>
    </cfRule>
    <cfRule type="containsText" dxfId="168" priority="230" stopIfTrue="1" operator="containsText" text="#ЗНАЧ!">
      <formula>NOT(ISERROR(SEARCH("#ЗНАЧ!",B5)))</formula>
    </cfRule>
  </conditionalFormatting>
  <conditionalFormatting sqref="W5:W6 W7:X7 W8:W31 W143:W148 W151 W153:W159 W161:W166 W53:W54 W168:W173 W177:W261 W356:W363 W58:W138 W263:W354">
    <cfRule type="containsText" dxfId="167" priority="227" stopIfTrue="1" operator="containsText" text="#ЗНАЧ!">
      <formula>NOT(ISERROR(SEARCH("#ЗНАЧ!",W5)))</formula>
    </cfRule>
    <cfRule type="containsText" dxfId="166" priority="228" stopIfTrue="1" operator="containsText" text="#ЗНАЧ!">
      <formula>NOT(ISERROR(SEARCH("#ЗНАЧ!",W5)))</formula>
    </cfRule>
  </conditionalFormatting>
  <conditionalFormatting sqref="C5:D5">
    <cfRule type="containsText" dxfId="165" priority="219" stopIfTrue="1" operator="containsText" text="#ЗНАЧ!">
      <formula>NOT(ISERROR(SEARCH("#ЗНАЧ!",C5)))</formula>
    </cfRule>
    <cfRule type="containsText" dxfId="164" priority="220" stopIfTrue="1" operator="containsText" text="#ЗНАЧ!">
      <formula>NOT(ISERROR(SEARCH("#ЗНАЧ!",C5)))</formula>
    </cfRule>
  </conditionalFormatting>
  <conditionalFormatting sqref="B5">
    <cfRule type="containsText" dxfId="163" priority="217" stopIfTrue="1" operator="containsText" text="#ЗНАЧ!">
      <formula>NOT(ISERROR(SEARCH("#ЗНАЧ!",B5)))</formula>
    </cfRule>
    <cfRule type="containsText" dxfId="162" priority="218" stopIfTrue="1" operator="containsText" text="#ЗНАЧ!">
      <formula>NOT(ISERROR(SEARCH("#ЗНАЧ!",B5)))</formula>
    </cfRule>
  </conditionalFormatting>
  <conditionalFormatting sqref="B447:C460 B462:C472 B474:C487 B489:C492 B494:C496 B498:C500">
    <cfRule type="containsText" dxfId="161" priority="209" stopIfTrue="1" operator="containsText" text="#ЗНАЧ!">
      <formula>NOT(ISERROR(SEARCH("#ЗНАЧ!",B447)))</formula>
    </cfRule>
    <cfRule type="containsText" dxfId="160" priority="210" stopIfTrue="1" operator="containsText" text="#ЗНАЧ!">
      <formula>NOT(ISERROR(SEARCH("#ЗНАЧ!",B447)))</formula>
    </cfRule>
  </conditionalFormatting>
  <conditionalFormatting sqref="B225:C231">
    <cfRule type="containsText" dxfId="159" priority="207" stopIfTrue="1" operator="containsText" text="#ЗНАЧ!">
      <formula>NOT(ISERROR(SEARCH("#ЗНАЧ!",B225)))</formula>
    </cfRule>
    <cfRule type="containsText" dxfId="158" priority="208" stopIfTrue="1" operator="containsText" text="#ЗНАЧ!">
      <formula>NOT(ISERROR(SEARCH("#ЗНАЧ!",B225)))</formula>
    </cfRule>
  </conditionalFormatting>
  <conditionalFormatting sqref="B140">
    <cfRule type="containsText" dxfId="157" priority="201" stopIfTrue="1" operator="containsText" text="#ЗНАЧ!">
      <formula>NOT(ISERROR(SEARCH("#ЗНАЧ!",B140)))</formula>
    </cfRule>
    <cfRule type="containsText" dxfId="156" priority="202" stopIfTrue="1" operator="containsText" text="#ЗНАЧ!">
      <formula>NOT(ISERROR(SEARCH("#ЗНАЧ!",B140)))</formula>
    </cfRule>
  </conditionalFormatting>
  <conditionalFormatting sqref="B141:D142 B143 F141:AA142">
    <cfRule type="containsText" dxfId="155" priority="199" stopIfTrue="1" operator="containsText" text="#ЗНАЧ!">
      <formula>NOT(ISERROR(SEARCH("#ЗНАЧ!",B141)))</formula>
    </cfRule>
    <cfRule type="containsText" dxfId="154" priority="200" stopIfTrue="1" operator="containsText" text="#ЗНАЧ!">
      <formula>NOT(ISERROR(SEARCH("#ЗНАЧ!",B141)))</formula>
    </cfRule>
  </conditionalFormatting>
  <conditionalFormatting sqref="W141:W142">
    <cfRule type="containsText" dxfId="153" priority="197" stopIfTrue="1" operator="containsText" text="#ЗНАЧ!">
      <formula>NOT(ISERROR(SEARCH("#ЗНАЧ!",W141)))</formula>
    </cfRule>
    <cfRule type="containsText" dxfId="152" priority="198" stopIfTrue="1" operator="containsText" text="#ЗНАЧ!">
      <formula>NOT(ISERROR(SEARCH("#ЗНАЧ!",W141)))</formula>
    </cfRule>
  </conditionalFormatting>
  <conditionalFormatting sqref="B144">
    <cfRule type="containsText" dxfId="151" priority="195" stopIfTrue="1" operator="containsText" text="#ЗНАЧ!">
      <formula>NOT(ISERROR(SEARCH("#ЗНАЧ!",B144)))</formula>
    </cfRule>
    <cfRule type="containsText" dxfId="150" priority="196" stopIfTrue="1" operator="containsText" text="#ЗНАЧ!">
      <formula>NOT(ISERROR(SEARCH("#ЗНАЧ!",B144)))</formula>
    </cfRule>
  </conditionalFormatting>
  <conditionalFormatting sqref="B147:D147">
    <cfRule type="containsText" dxfId="149" priority="193" stopIfTrue="1" operator="containsText" text="#ЗНАЧ!">
      <formula>NOT(ISERROR(SEARCH("#ЗНАЧ!",B147)))</formula>
    </cfRule>
    <cfRule type="containsText" dxfId="148" priority="194" stopIfTrue="1" operator="containsText" text="#ЗНАЧ!">
      <formula>NOT(ISERROR(SEARCH("#ЗНАЧ!",B147)))</formula>
    </cfRule>
  </conditionalFormatting>
  <conditionalFormatting sqref="B148">
    <cfRule type="containsText" dxfId="147" priority="191" stopIfTrue="1" operator="containsText" text="#ЗНАЧ!">
      <formula>NOT(ISERROR(SEARCH("#ЗНАЧ!",B148)))</formula>
    </cfRule>
    <cfRule type="containsText" dxfId="146" priority="192" stopIfTrue="1" operator="containsText" text="#ЗНАЧ!">
      <formula>NOT(ISERROR(SEARCH("#ЗНАЧ!",B148)))</formula>
    </cfRule>
  </conditionalFormatting>
  <conditionalFormatting sqref="F150:AA150">
    <cfRule type="containsText" dxfId="145" priority="185" stopIfTrue="1" operator="containsText" text="#ЗНАЧ!">
      <formula>NOT(ISERROR(SEARCH("#ЗНАЧ!",F150)))</formula>
    </cfRule>
    <cfRule type="containsText" dxfId="144" priority="186" stopIfTrue="1" operator="containsText" text="#ЗНАЧ!">
      <formula>NOT(ISERROR(SEARCH("#ЗНАЧ!",F150)))</formula>
    </cfRule>
  </conditionalFormatting>
  <conditionalFormatting sqref="W150">
    <cfRule type="containsText" dxfId="143" priority="183" stopIfTrue="1" operator="containsText" text="#ЗНАЧ!">
      <formula>NOT(ISERROR(SEARCH("#ЗНАЧ!",W150)))</formula>
    </cfRule>
    <cfRule type="containsText" dxfId="142" priority="184" stopIfTrue="1" operator="containsText" text="#ЗНАЧ!">
      <formula>NOT(ISERROR(SEARCH("#ЗНАЧ!",W150)))</formula>
    </cfRule>
  </conditionalFormatting>
  <conditionalFormatting sqref="B150:D150">
    <cfRule type="containsText" dxfId="141" priority="181" stopIfTrue="1" operator="containsText" text="#ЗНАЧ!">
      <formula>NOT(ISERROR(SEARCH("#ЗНАЧ!",B150)))</formula>
    </cfRule>
    <cfRule type="containsText" dxfId="140" priority="182" stopIfTrue="1" operator="containsText" text="#ЗНАЧ!">
      <formula>NOT(ISERROR(SEARCH("#ЗНАЧ!",B150)))</formula>
    </cfRule>
  </conditionalFormatting>
  <conditionalFormatting sqref="B152:D152 F152:AA152">
    <cfRule type="containsText" dxfId="139" priority="179" stopIfTrue="1" operator="containsText" text="#ЗНАЧ!">
      <formula>NOT(ISERROR(SEARCH("#ЗНАЧ!",B152)))</formula>
    </cfRule>
    <cfRule type="containsText" dxfId="138" priority="180" stopIfTrue="1" operator="containsText" text="#ЗНАЧ!">
      <formula>NOT(ISERROR(SEARCH("#ЗНАЧ!",B152)))</formula>
    </cfRule>
  </conditionalFormatting>
  <conditionalFormatting sqref="W152">
    <cfRule type="containsText" dxfId="137" priority="177" stopIfTrue="1" operator="containsText" text="#ЗНАЧ!">
      <formula>NOT(ISERROR(SEARCH("#ЗНАЧ!",W152)))</formula>
    </cfRule>
    <cfRule type="containsText" dxfId="136" priority="178" stopIfTrue="1" operator="containsText" text="#ЗНАЧ!">
      <formula>NOT(ISERROR(SEARCH("#ЗНАЧ!",W152)))</formula>
    </cfRule>
  </conditionalFormatting>
  <conditionalFormatting sqref="B160:D160 F160:AA160">
    <cfRule type="containsText" dxfId="135" priority="175" stopIfTrue="1" operator="containsText" text="#ЗНАЧ!">
      <formula>NOT(ISERROR(SEARCH("#ЗНАЧ!",B160)))</formula>
    </cfRule>
    <cfRule type="containsText" dxfId="134" priority="176" stopIfTrue="1" operator="containsText" text="#ЗНАЧ!">
      <formula>NOT(ISERROR(SEARCH("#ЗНАЧ!",B160)))</formula>
    </cfRule>
  </conditionalFormatting>
  <conditionalFormatting sqref="W160">
    <cfRule type="containsText" dxfId="133" priority="173" stopIfTrue="1" operator="containsText" text="#ЗНАЧ!">
      <formula>NOT(ISERROR(SEARCH("#ЗНАЧ!",W160)))</formula>
    </cfRule>
    <cfRule type="containsText" dxfId="132" priority="174" stopIfTrue="1" operator="containsText" text="#ЗНАЧ!">
      <formula>NOT(ISERROR(SEARCH("#ЗНАЧ!",W160)))</formula>
    </cfRule>
  </conditionalFormatting>
  <conditionalFormatting sqref="B167:D167 F167:AA167">
    <cfRule type="containsText" dxfId="131" priority="171" stopIfTrue="1" operator="containsText" text="#ЗНАЧ!">
      <formula>NOT(ISERROR(SEARCH("#ЗНАЧ!",B167)))</formula>
    </cfRule>
    <cfRule type="containsText" dxfId="130" priority="172" stopIfTrue="1" operator="containsText" text="#ЗНАЧ!">
      <formula>NOT(ISERROR(SEARCH("#ЗНАЧ!",B167)))</formula>
    </cfRule>
  </conditionalFormatting>
  <conditionalFormatting sqref="W167">
    <cfRule type="containsText" dxfId="129" priority="169" stopIfTrue="1" operator="containsText" text="#ЗНАЧ!">
      <formula>NOT(ISERROR(SEARCH("#ЗНАЧ!",W167)))</formula>
    </cfRule>
    <cfRule type="containsText" dxfId="128" priority="170" stopIfTrue="1" operator="containsText" text="#ЗНАЧ!">
      <formula>NOT(ISERROR(SEARCH("#ЗНАЧ!",W167)))</formula>
    </cfRule>
  </conditionalFormatting>
  <conditionalFormatting sqref="B149:D149 F149:AA149">
    <cfRule type="containsText" dxfId="127" priority="163" stopIfTrue="1" operator="containsText" text="#ЗНАЧ!">
      <formula>NOT(ISERROR(SEARCH("#ЗНАЧ!",B149)))</formula>
    </cfRule>
    <cfRule type="containsText" dxfId="126" priority="164" stopIfTrue="1" operator="containsText" text="#ЗНАЧ!">
      <formula>NOT(ISERROR(SEARCH("#ЗНАЧ!",B149)))</formula>
    </cfRule>
  </conditionalFormatting>
  <conditionalFormatting sqref="W149">
    <cfRule type="containsText" dxfId="125" priority="161" stopIfTrue="1" operator="containsText" text="#ЗНАЧ!">
      <formula>NOT(ISERROR(SEARCH("#ЗНАЧ!",W149)))</formula>
    </cfRule>
    <cfRule type="containsText" dxfId="124" priority="162" stopIfTrue="1" operator="containsText" text="#ЗНАЧ!">
      <formula>NOT(ISERROR(SEARCH("#ЗНАЧ!",W149)))</formula>
    </cfRule>
  </conditionalFormatting>
  <conditionalFormatting sqref="B609">
    <cfRule type="containsText" dxfId="123" priority="157" stopIfTrue="1" operator="containsText" text="#ЗНАЧ!">
      <formula>NOT(ISERROR(SEARCH("#ЗНАЧ!",B609)))</formula>
    </cfRule>
    <cfRule type="containsText" dxfId="122" priority="158" stopIfTrue="1" operator="containsText" text="#ЗНАЧ!">
      <formula>NOT(ISERROR(SEARCH("#ЗНАЧ!",B609)))</formula>
    </cfRule>
  </conditionalFormatting>
  <conditionalFormatting sqref="B32:D32 F32:AA32">
    <cfRule type="containsText" dxfId="121" priority="155" stopIfTrue="1" operator="containsText" text="#ЗНАЧ!">
      <formula>NOT(ISERROR(SEARCH("#ЗНАЧ!",B32)))</formula>
    </cfRule>
    <cfRule type="containsText" dxfId="120" priority="156" stopIfTrue="1" operator="containsText" text="#ЗНАЧ!">
      <formula>NOT(ISERROR(SEARCH("#ЗНАЧ!",B32)))</formula>
    </cfRule>
  </conditionalFormatting>
  <conditionalFormatting sqref="W32">
    <cfRule type="containsText" dxfId="119" priority="153" stopIfTrue="1" operator="containsText" text="#ЗНАЧ!">
      <formula>NOT(ISERROR(SEARCH("#ЗНАЧ!",W32)))</formula>
    </cfRule>
    <cfRule type="containsText" dxfId="118" priority="154" stopIfTrue="1" operator="containsText" text="#ЗНАЧ!">
      <formula>NOT(ISERROR(SEARCH("#ЗНАЧ!",W32)))</formula>
    </cfRule>
  </conditionalFormatting>
  <conditionalFormatting sqref="B136">
    <cfRule type="containsText" dxfId="117" priority="133" stopIfTrue="1" operator="containsText" text="#ЗНАЧ!">
      <formula>NOT(ISERROR(SEARCH("#ЗНАЧ!",B136)))</formula>
    </cfRule>
    <cfRule type="containsText" dxfId="116" priority="134" stopIfTrue="1" operator="containsText" text="#ЗНАЧ!">
      <formula>NOT(ISERROR(SEARCH("#ЗНАЧ!",B136)))</formula>
    </cfRule>
  </conditionalFormatting>
  <conditionalFormatting sqref="B175:D175 F174:AA176 C176:D176 B176:B177">
    <cfRule type="containsText" dxfId="115" priority="131" stopIfTrue="1" operator="containsText" text="#ЗНАЧ!">
      <formula>NOT(ISERROR(SEARCH("#ЗНАЧ!",B174)))</formula>
    </cfRule>
    <cfRule type="containsText" dxfId="114" priority="132" stopIfTrue="1" operator="containsText" text="#ЗНАЧ!">
      <formula>NOT(ISERROR(SEARCH("#ЗНАЧ!",B174)))</formula>
    </cfRule>
  </conditionalFormatting>
  <conditionalFormatting sqref="W174:W176">
    <cfRule type="containsText" dxfId="113" priority="129" stopIfTrue="1" operator="containsText" text="#ЗНАЧ!">
      <formula>NOT(ISERROR(SEARCH("#ЗНАЧ!",W174)))</formula>
    </cfRule>
    <cfRule type="containsText" dxfId="112" priority="130" stopIfTrue="1" operator="containsText" text="#ЗНАЧ!">
      <formula>NOT(ISERROR(SEARCH("#ЗНАЧ!",W174)))</formula>
    </cfRule>
  </conditionalFormatting>
  <conditionalFormatting sqref="B55:D55 F55:AA55">
    <cfRule type="containsText" dxfId="111" priority="127" stopIfTrue="1" operator="containsText" text="#ЗНАЧ!">
      <formula>NOT(ISERROR(SEARCH("#ЗНАЧ!",B55)))</formula>
    </cfRule>
    <cfRule type="containsText" dxfId="110" priority="128" stopIfTrue="1" operator="containsText" text="#ЗНАЧ!">
      <formula>NOT(ISERROR(SEARCH("#ЗНАЧ!",B55)))</formula>
    </cfRule>
  </conditionalFormatting>
  <conditionalFormatting sqref="W55">
    <cfRule type="containsText" dxfId="109" priority="125" stopIfTrue="1" operator="containsText" text="#ЗНАЧ!">
      <formula>NOT(ISERROR(SEARCH("#ЗНАЧ!",W55)))</formula>
    </cfRule>
    <cfRule type="containsText" dxfId="108" priority="126" stopIfTrue="1" operator="containsText" text="#ЗНАЧ!">
      <formula>NOT(ISERROR(SEARCH("#ЗНАЧ!",W55)))</formula>
    </cfRule>
  </conditionalFormatting>
  <conditionalFormatting sqref="D262 F262:AA262">
    <cfRule type="containsText" dxfId="107" priority="123" stopIfTrue="1" operator="containsText" text="#ЗНАЧ!">
      <formula>NOT(ISERROR(SEARCH("#ЗНАЧ!",D262)))</formula>
    </cfRule>
    <cfRule type="containsText" dxfId="106" priority="124" stopIfTrue="1" operator="containsText" text="#ЗНАЧ!">
      <formula>NOT(ISERROR(SEARCH("#ЗНАЧ!",D262)))</formula>
    </cfRule>
  </conditionalFormatting>
  <conditionalFormatting sqref="W262">
    <cfRule type="containsText" dxfId="105" priority="121" stopIfTrue="1" operator="containsText" text="#ЗНАЧ!">
      <formula>NOT(ISERROR(SEARCH("#ЗНАЧ!",W262)))</formula>
    </cfRule>
    <cfRule type="containsText" dxfId="104" priority="122" stopIfTrue="1" operator="containsText" text="#ЗНАЧ!">
      <formula>NOT(ISERROR(SEARCH("#ЗНАЧ!",W262)))</formula>
    </cfRule>
  </conditionalFormatting>
  <conditionalFormatting sqref="D295">
    <cfRule type="containsText" dxfId="103" priority="119" stopIfTrue="1" operator="containsText" text="#ЗНАЧ!">
      <formula>NOT(ISERROR(SEARCH("#ЗНАЧ!",D295)))</formula>
    </cfRule>
    <cfRule type="containsText" dxfId="102" priority="120" stopIfTrue="1" operator="containsText" text="#ЗНАЧ!">
      <formula>NOT(ISERROR(SEARCH("#ЗНАЧ!",D295)))</formula>
    </cfRule>
  </conditionalFormatting>
  <conditionalFormatting sqref="D303">
    <cfRule type="containsText" dxfId="101" priority="117" stopIfTrue="1" operator="containsText" text="#ЗНАЧ!">
      <formula>NOT(ISERROR(SEARCH("#ЗНАЧ!",D303)))</formula>
    </cfRule>
    <cfRule type="containsText" dxfId="100" priority="118" stopIfTrue="1" operator="containsText" text="#ЗНАЧ!">
      <formula>NOT(ISERROR(SEARCH("#ЗНАЧ!",D303)))</formula>
    </cfRule>
  </conditionalFormatting>
  <conditionalFormatting sqref="D308">
    <cfRule type="containsText" dxfId="99" priority="115" stopIfTrue="1" operator="containsText" text="#ЗНАЧ!">
      <formula>NOT(ISERROR(SEARCH("#ЗНАЧ!",D308)))</formula>
    </cfRule>
    <cfRule type="containsText" dxfId="98" priority="116" stopIfTrue="1" operator="containsText" text="#ЗНАЧ!">
      <formula>NOT(ISERROR(SEARCH("#ЗНАЧ!",D308)))</formula>
    </cfRule>
  </conditionalFormatting>
  <conditionalFormatting sqref="D312">
    <cfRule type="containsText" dxfId="97" priority="113" stopIfTrue="1" operator="containsText" text="#ЗНАЧ!">
      <formula>NOT(ISERROR(SEARCH("#ЗНАЧ!",D312)))</formula>
    </cfRule>
    <cfRule type="containsText" dxfId="96" priority="114" stopIfTrue="1" operator="containsText" text="#ЗНАЧ!">
      <formula>NOT(ISERROR(SEARCH("#ЗНАЧ!",D312)))</formula>
    </cfRule>
  </conditionalFormatting>
  <conditionalFormatting sqref="D314">
    <cfRule type="containsText" dxfId="95" priority="111" stopIfTrue="1" operator="containsText" text="#ЗНАЧ!">
      <formula>NOT(ISERROR(SEARCH("#ЗНАЧ!",D314)))</formula>
    </cfRule>
    <cfRule type="containsText" dxfId="94" priority="112" stopIfTrue="1" operator="containsText" text="#ЗНАЧ!">
      <formula>NOT(ISERROR(SEARCH("#ЗНАЧ!",D314)))</formula>
    </cfRule>
  </conditionalFormatting>
  <conditionalFormatting sqref="D315">
    <cfRule type="containsText" dxfId="93" priority="109" stopIfTrue="1" operator="containsText" text="#ЗНАЧ!">
      <formula>NOT(ISERROR(SEARCH("#ЗНАЧ!",D315)))</formula>
    </cfRule>
    <cfRule type="containsText" dxfId="92" priority="110" stopIfTrue="1" operator="containsText" text="#ЗНАЧ!">
      <formula>NOT(ISERROR(SEARCH("#ЗНАЧ!",D315)))</formula>
    </cfRule>
  </conditionalFormatting>
  <conditionalFormatting sqref="D316">
    <cfRule type="containsText" dxfId="91" priority="107" stopIfTrue="1" operator="containsText" text="#ЗНАЧ!">
      <formula>NOT(ISERROR(SEARCH("#ЗНАЧ!",D316)))</formula>
    </cfRule>
    <cfRule type="containsText" dxfId="90" priority="108" stopIfTrue="1" operator="containsText" text="#ЗНАЧ!">
      <formula>NOT(ISERROR(SEARCH("#ЗНАЧ!",D316)))</formula>
    </cfRule>
  </conditionalFormatting>
  <conditionalFormatting sqref="D318">
    <cfRule type="containsText" dxfId="89" priority="105" stopIfTrue="1" operator="containsText" text="#ЗНАЧ!">
      <formula>NOT(ISERROR(SEARCH("#ЗНАЧ!",D318)))</formula>
    </cfRule>
    <cfRule type="containsText" dxfId="88" priority="106" stopIfTrue="1" operator="containsText" text="#ЗНАЧ!">
      <formula>NOT(ISERROR(SEARCH("#ЗНАЧ!",D318)))</formula>
    </cfRule>
  </conditionalFormatting>
  <conditionalFormatting sqref="D319">
    <cfRule type="containsText" dxfId="87" priority="103" stopIfTrue="1" operator="containsText" text="#ЗНАЧ!">
      <formula>NOT(ISERROR(SEARCH("#ЗНАЧ!",D319)))</formula>
    </cfRule>
    <cfRule type="containsText" dxfId="86" priority="104" stopIfTrue="1" operator="containsText" text="#ЗНАЧ!">
      <formula>NOT(ISERROR(SEARCH("#ЗНАЧ!",D319)))</formula>
    </cfRule>
  </conditionalFormatting>
  <conditionalFormatting sqref="D326">
    <cfRule type="containsText" dxfId="85" priority="101" stopIfTrue="1" operator="containsText" text="#ЗНАЧ!">
      <formula>NOT(ISERROR(SEARCH("#ЗНАЧ!",D326)))</formula>
    </cfRule>
    <cfRule type="containsText" dxfId="84" priority="102" stopIfTrue="1" operator="containsText" text="#ЗНАЧ!">
      <formula>NOT(ISERROR(SEARCH("#ЗНАЧ!",D326)))</formula>
    </cfRule>
  </conditionalFormatting>
  <conditionalFormatting sqref="D330">
    <cfRule type="containsText" dxfId="83" priority="99" stopIfTrue="1" operator="containsText" text="#ЗНАЧ!">
      <formula>NOT(ISERROR(SEARCH("#ЗНАЧ!",D330)))</formula>
    </cfRule>
    <cfRule type="containsText" dxfId="82" priority="100" stopIfTrue="1" operator="containsText" text="#ЗНАЧ!">
      <formula>NOT(ISERROR(SEARCH("#ЗНАЧ!",D330)))</formula>
    </cfRule>
  </conditionalFormatting>
  <conditionalFormatting sqref="D331">
    <cfRule type="containsText" dxfId="81" priority="97" stopIfTrue="1" operator="containsText" text="#ЗНАЧ!">
      <formula>NOT(ISERROR(SEARCH("#ЗНАЧ!",D331)))</formula>
    </cfRule>
    <cfRule type="containsText" dxfId="80" priority="98" stopIfTrue="1" operator="containsText" text="#ЗНАЧ!">
      <formula>NOT(ISERROR(SEARCH("#ЗНАЧ!",D331)))</formula>
    </cfRule>
  </conditionalFormatting>
  <conditionalFormatting sqref="F355:AA355">
    <cfRule type="containsText" dxfId="79" priority="95" stopIfTrue="1" operator="containsText" text="#ЗНАЧ!">
      <formula>NOT(ISERROR(SEARCH("#ЗНАЧ!",F355)))</formula>
    </cfRule>
    <cfRule type="containsText" dxfId="78" priority="96" stopIfTrue="1" operator="containsText" text="#ЗНАЧ!">
      <formula>NOT(ISERROR(SEARCH("#ЗНАЧ!",F355)))</formula>
    </cfRule>
  </conditionalFormatting>
  <conditionalFormatting sqref="W355">
    <cfRule type="containsText" dxfId="77" priority="93" stopIfTrue="1" operator="containsText" text="#ЗНАЧ!">
      <formula>NOT(ISERROR(SEARCH("#ЗНАЧ!",W355)))</formula>
    </cfRule>
    <cfRule type="containsText" dxfId="76" priority="94" stopIfTrue="1" operator="containsText" text="#ЗНАЧ!">
      <formula>NOT(ISERROR(SEARCH("#ЗНАЧ!",W355)))</formula>
    </cfRule>
  </conditionalFormatting>
  <conditionalFormatting sqref="B99:B100">
    <cfRule type="containsText" dxfId="75" priority="91" stopIfTrue="1" operator="containsText" text="#ЗНАЧ!">
      <formula>NOT(ISERROR(SEARCH("#ЗНАЧ!",B99)))</formula>
    </cfRule>
    <cfRule type="containsText" dxfId="74" priority="92" stopIfTrue="1" operator="containsText" text="#ЗНАЧ!">
      <formula>NOT(ISERROR(SEARCH("#ЗНАЧ!",B99)))</formula>
    </cfRule>
  </conditionalFormatting>
  <conditionalFormatting sqref="B124:B126">
    <cfRule type="containsText" dxfId="73" priority="89" stopIfTrue="1" operator="containsText" text="#ЗНАЧ!">
      <formula>NOT(ISERROR(SEARCH("#ЗНАЧ!",B124)))</formula>
    </cfRule>
    <cfRule type="containsText" dxfId="72" priority="90" stopIfTrue="1" operator="containsText" text="#ЗНАЧ!">
      <formula>NOT(ISERROR(SEARCH("#ЗНАЧ!",B124)))</formula>
    </cfRule>
  </conditionalFormatting>
  <conditionalFormatting sqref="B130">
    <cfRule type="containsText" dxfId="71" priority="87" stopIfTrue="1" operator="containsText" text="#ЗНАЧ!">
      <formula>NOT(ISERROR(SEARCH("#ЗНАЧ!",B130)))</formula>
    </cfRule>
    <cfRule type="containsText" dxfId="70" priority="88" stopIfTrue="1" operator="containsText" text="#ЗНАЧ!">
      <formula>NOT(ISERROR(SEARCH("#ЗНАЧ!",B130)))</formula>
    </cfRule>
  </conditionalFormatting>
  <conditionalFormatting sqref="B132:B133">
    <cfRule type="containsText" dxfId="69" priority="85" stopIfTrue="1" operator="containsText" text="#ЗНАЧ!">
      <formula>NOT(ISERROR(SEARCH("#ЗНАЧ!",B132)))</formula>
    </cfRule>
    <cfRule type="containsText" dxfId="68" priority="86" stopIfTrue="1" operator="containsText" text="#ЗНАЧ!">
      <formula>NOT(ISERROR(SEARCH("#ЗНАЧ!",B132)))</formula>
    </cfRule>
  </conditionalFormatting>
  <conditionalFormatting sqref="B134">
    <cfRule type="containsText" dxfId="67" priority="83" stopIfTrue="1" operator="containsText" text="#ЗНАЧ!">
      <formula>NOT(ISERROR(SEARCH("#ЗНАЧ!",B134)))</formula>
    </cfRule>
    <cfRule type="containsText" dxfId="66" priority="84" stopIfTrue="1" operator="containsText" text="#ЗНАЧ!">
      <formula>NOT(ISERROR(SEARCH("#ЗНАЧ!",B134)))</formula>
    </cfRule>
  </conditionalFormatting>
  <conditionalFormatting sqref="B135">
    <cfRule type="containsText" dxfId="65" priority="81" stopIfTrue="1" operator="containsText" text="#ЗНАЧ!">
      <formula>NOT(ISERROR(SEARCH("#ЗНАЧ!",B135)))</formula>
    </cfRule>
    <cfRule type="containsText" dxfId="64" priority="82" stopIfTrue="1" operator="containsText" text="#ЗНАЧ!">
      <formula>NOT(ISERROR(SEARCH("#ЗНАЧ!",B135)))</formula>
    </cfRule>
  </conditionalFormatting>
  <conditionalFormatting sqref="B293">
    <cfRule type="containsText" dxfId="63" priority="79" stopIfTrue="1" operator="containsText" text="#ЗНАЧ!">
      <formula>NOT(ISERROR(SEARCH("#ЗНАЧ!",B293)))</formula>
    </cfRule>
    <cfRule type="containsText" dxfId="62" priority="80" stopIfTrue="1" operator="containsText" text="#ЗНАЧ!">
      <formula>NOT(ISERROR(SEARCH("#ЗНАЧ!",B293)))</formula>
    </cfRule>
  </conditionalFormatting>
  <conditionalFormatting sqref="B278">
    <cfRule type="containsText" dxfId="61" priority="77" stopIfTrue="1" operator="containsText" text="#ЗНАЧ!">
      <formula>NOT(ISERROR(SEARCH("#ЗНАЧ!",B278)))</formula>
    </cfRule>
    <cfRule type="containsText" dxfId="60" priority="78" stopIfTrue="1" operator="containsText" text="#ЗНАЧ!">
      <formula>NOT(ISERROR(SEARCH("#ЗНАЧ!",B278)))</formula>
    </cfRule>
  </conditionalFormatting>
  <conditionalFormatting sqref="B575:B578">
    <cfRule type="containsText" dxfId="59" priority="75" stopIfTrue="1" operator="containsText" text="#ЗНАЧ!">
      <formula>NOT(ISERROR(SEARCH("#ЗНАЧ!",B575)))</formula>
    </cfRule>
    <cfRule type="containsText" dxfId="58" priority="76" stopIfTrue="1" operator="containsText" text="#ЗНАЧ!">
      <formula>NOT(ISERROR(SEARCH("#ЗНАЧ!",B575)))</formula>
    </cfRule>
  </conditionalFormatting>
  <conditionalFormatting sqref="B56:D56 F56:AA56">
    <cfRule type="containsText" dxfId="57" priority="73" stopIfTrue="1" operator="containsText" text="#ЗНАЧ!">
      <formula>NOT(ISERROR(SEARCH("#ЗНАЧ!",B56)))</formula>
    </cfRule>
    <cfRule type="containsText" dxfId="56" priority="74" stopIfTrue="1" operator="containsText" text="#ЗНАЧ!">
      <formula>NOT(ISERROR(SEARCH("#ЗНАЧ!",B56)))</formula>
    </cfRule>
  </conditionalFormatting>
  <conditionalFormatting sqref="W56">
    <cfRule type="containsText" dxfId="55" priority="71" stopIfTrue="1" operator="containsText" text="#ЗНАЧ!">
      <formula>NOT(ISERROR(SEARCH("#ЗНАЧ!",W56)))</formula>
    </cfRule>
    <cfRule type="containsText" dxfId="54" priority="72" stopIfTrue="1" operator="containsText" text="#ЗНАЧ!">
      <formula>NOT(ISERROR(SEARCH("#ЗНАЧ!",W56)))</formula>
    </cfRule>
  </conditionalFormatting>
  <conditionalFormatting sqref="B57:D57 F57:AA57">
    <cfRule type="containsText" dxfId="53" priority="69" stopIfTrue="1" operator="containsText" text="#ЗНАЧ!">
      <formula>NOT(ISERROR(SEARCH("#ЗНАЧ!",B57)))</formula>
    </cfRule>
    <cfRule type="containsText" dxfId="52" priority="70" stopIfTrue="1" operator="containsText" text="#ЗНАЧ!">
      <formula>NOT(ISERROR(SEARCH("#ЗНАЧ!",B57)))</formula>
    </cfRule>
  </conditionalFormatting>
  <conditionalFormatting sqref="W57">
    <cfRule type="containsText" dxfId="51" priority="67" stopIfTrue="1" operator="containsText" text="#ЗНАЧ!">
      <formula>NOT(ISERROR(SEARCH("#ЗНАЧ!",W57)))</formula>
    </cfRule>
    <cfRule type="containsText" dxfId="50" priority="68" stopIfTrue="1" operator="containsText" text="#ЗНАЧ!">
      <formula>NOT(ISERROR(SEARCH("#ЗНАЧ!",W57)))</formula>
    </cfRule>
  </conditionalFormatting>
  <conditionalFormatting sqref="B221">
    <cfRule type="containsText" dxfId="49" priority="65" stopIfTrue="1" operator="containsText" text="#ЗНАЧ!">
      <formula>NOT(ISERROR(SEARCH("#ЗНАЧ!",B221)))</formula>
    </cfRule>
    <cfRule type="containsText" dxfId="48" priority="66" stopIfTrue="1" operator="containsText" text="#ЗНАЧ!">
      <formula>NOT(ISERROR(SEARCH("#ЗНАЧ!",B221)))</formula>
    </cfRule>
  </conditionalFormatting>
  <conditionalFormatting sqref="B519:D519">
    <cfRule type="containsText" dxfId="47" priority="63" stopIfTrue="1" operator="containsText" text="#ЗНАЧ!">
      <formula>NOT(ISERROR(SEARCH("#ЗНАЧ!",B519)))</formula>
    </cfRule>
    <cfRule type="containsText" dxfId="46" priority="64" stopIfTrue="1" operator="containsText" text="#ЗНАЧ!">
      <formula>NOT(ISERROR(SEARCH("#ЗНАЧ!",B519)))</formula>
    </cfRule>
  </conditionalFormatting>
  <conditionalFormatting sqref="AC37 B33:D52 F33:AA52">
    <cfRule type="containsText" dxfId="45" priority="61" stopIfTrue="1" operator="containsText" text="#ЗНАЧ!">
      <formula>NOT(ISERROR(SEARCH("#ЗНАЧ!",B33)))</formula>
    </cfRule>
    <cfRule type="containsText" dxfId="44" priority="62" stopIfTrue="1" operator="containsText" text="#ЗНАЧ!">
      <formula>NOT(ISERROR(SEARCH("#ЗНАЧ!",B33)))</formula>
    </cfRule>
  </conditionalFormatting>
  <conditionalFormatting sqref="W33:W52">
    <cfRule type="containsText" dxfId="43" priority="59" stopIfTrue="1" operator="containsText" text="#ЗНАЧ!">
      <formula>NOT(ISERROR(SEARCH("#ЗНАЧ!",W33)))</formula>
    </cfRule>
    <cfRule type="containsText" dxfId="42" priority="60" stopIfTrue="1" operator="containsText" text="#ЗНАЧ!">
      <formula>NOT(ISERROR(SEARCH("#ЗНАЧ!",W33)))</formula>
    </cfRule>
  </conditionalFormatting>
  <conditionalFormatting sqref="E8 E354 E151 E154 E400:E403 E320 E327:E328 E574 E11:E120 E122:E137 E141 E139:AA139 E180:E278 E594 E591 E581 E561 E552:E554 E516 E384:E386 E370:E382 E324 E289">
    <cfRule type="containsText" dxfId="41" priority="57" stopIfTrue="1" operator="containsText" text="#ЗНАЧ!">
      <formula>NOT(ISERROR(SEARCH("#ЗНАЧ!",E8)))</formula>
    </cfRule>
    <cfRule type="containsText" dxfId="40" priority="58" stopIfTrue="1" operator="containsText" text="#ЗНАЧ!">
      <formula>NOT(ISERROR(SEARCH("#ЗНАЧ!",E8)))</formula>
    </cfRule>
  </conditionalFormatting>
  <conditionalFormatting sqref="E5">
    <cfRule type="containsText" dxfId="39" priority="55" stopIfTrue="1" operator="containsText" text="#ЗНАЧ!">
      <formula>NOT(ISERROR(SEARCH("#ЗНАЧ!",E5)))</formula>
    </cfRule>
    <cfRule type="containsText" dxfId="38" priority="56" stopIfTrue="1" operator="containsText" text="#ЗНАЧ!">
      <formula>NOT(ISERROR(SEARCH("#ЗНАЧ!",E5)))</formula>
    </cfRule>
  </conditionalFormatting>
  <pageMargins left="0.70866141732283472" right="0.70866141732283472" top="0.74803149606299213" bottom="0.19685039370078741" header="0.31496062992125984" footer="0.31496062992125984"/>
  <pageSetup paperSize="9" scale="90" fitToHeight="30" orientation="portrait" r:id="rId1"/>
  <rowBreaks count="4" manualBreakCount="4">
    <brk id="167" max="22" man="1"/>
    <brk id="340" max="22" man="1"/>
    <brk id="352" max="22" man="1"/>
    <brk id="363" max="2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6"/>
  <sheetViews>
    <sheetView topLeftCell="A16" workbookViewId="0">
      <selection activeCell="A4" sqref="A4:IV4"/>
    </sheetView>
  </sheetViews>
  <sheetFormatPr defaultRowHeight="15" x14ac:dyDescent="0.25"/>
  <cols>
    <col min="1" max="1" width="48.5703125" customWidth="1"/>
    <col min="2" max="2" width="13.140625" style="29" customWidth="1"/>
    <col min="3" max="3" width="13.140625" customWidth="1"/>
  </cols>
  <sheetData>
    <row r="1" spans="1:3" ht="52.5" customHeight="1" x14ac:dyDescent="0.25">
      <c r="A1" s="300" t="s">
        <v>0</v>
      </c>
      <c r="B1" s="301" t="s">
        <v>1</v>
      </c>
      <c r="C1" s="302" t="s">
        <v>248</v>
      </c>
    </row>
    <row r="2" spans="1:3" ht="15" customHeight="1" x14ac:dyDescent="0.25">
      <c r="A2" s="300"/>
      <c r="B2" s="301"/>
      <c r="C2" s="302"/>
    </row>
    <row r="3" spans="1:3" x14ac:dyDescent="0.25">
      <c r="A3" s="300"/>
      <c r="B3" s="301"/>
      <c r="C3" s="302"/>
    </row>
    <row r="4" spans="1:3" ht="31.5" customHeight="1" x14ac:dyDescent="0.25">
      <c r="A4" s="12" t="s">
        <v>111</v>
      </c>
      <c r="B4" s="20"/>
      <c r="C4" s="12"/>
    </row>
    <row r="5" spans="1:3" ht="45" x14ac:dyDescent="0.25">
      <c r="A5" s="13" t="s">
        <v>250</v>
      </c>
      <c r="B5" s="14"/>
      <c r="C5" s="14"/>
    </row>
    <row r="6" spans="1:3" s="23" customFormat="1" x14ac:dyDescent="0.25">
      <c r="A6" s="21" t="s">
        <v>78</v>
      </c>
      <c r="B6" s="22"/>
      <c r="C6" s="22"/>
    </row>
    <row r="7" spans="1:3" ht="22.5" x14ac:dyDescent="0.25">
      <c r="A7" s="24" t="s">
        <v>112</v>
      </c>
      <c r="B7" s="25" t="s">
        <v>113</v>
      </c>
      <c r="C7" s="8">
        <v>16.542649601746607</v>
      </c>
    </row>
    <row r="8" spans="1:3" x14ac:dyDescent="0.25">
      <c r="A8" s="24" t="s">
        <v>114</v>
      </c>
      <c r="B8" s="25"/>
      <c r="C8" s="8"/>
    </row>
    <row r="9" spans="1:3" x14ac:dyDescent="0.25">
      <c r="A9" s="24" t="s">
        <v>115</v>
      </c>
      <c r="B9" s="25" t="s">
        <v>116</v>
      </c>
      <c r="C9" s="8">
        <v>196.08184523809524</v>
      </c>
    </row>
    <row r="10" spans="1:3" x14ac:dyDescent="0.25">
      <c r="A10" s="24" t="s">
        <v>117</v>
      </c>
      <c r="B10" s="25" t="s">
        <v>116</v>
      </c>
      <c r="C10" s="8">
        <v>72.51130952380953</v>
      </c>
    </row>
    <row r="11" spans="1:3" x14ac:dyDescent="0.25">
      <c r="A11" s="24" t="s">
        <v>118</v>
      </c>
      <c r="B11" s="25" t="s">
        <v>116</v>
      </c>
      <c r="C11" s="8">
        <v>34.462648809523806</v>
      </c>
    </row>
    <row r="12" spans="1:3" x14ac:dyDescent="0.25">
      <c r="A12" s="24" t="s">
        <v>119</v>
      </c>
      <c r="B12" s="25" t="s">
        <v>116</v>
      </c>
      <c r="C12" s="8">
        <v>39.732142857142854</v>
      </c>
    </row>
    <row r="13" spans="1:3" x14ac:dyDescent="0.25">
      <c r="A13" s="24" t="s">
        <v>120</v>
      </c>
      <c r="B13" s="25" t="s">
        <v>116</v>
      </c>
      <c r="C13" s="8">
        <v>12.648809523809524</v>
      </c>
    </row>
    <row r="14" spans="1:3" x14ac:dyDescent="0.25">
      <c r="A14" s="24" t="s">
        <v>121</v>
      </c>
      <c r="B14" s="25" t="s">
        <v>116</v>
      </c>
      <c r="C14" s="8">
        <v>13.732738095238094</v>
      </c>
    </row>
    <row r="15" spans="1:3" x14ac:dyDescent="0.25">
      <c r="A15" s="24" t="s">
        <v>122</v>
      </c>
      <c r="B15" s="25" t="s">
        <v>116</v>
      </c>
      <c r="C15" s="8">
        <v>28.86904761904762</v>
      </c>
    </row>
    <row r="16" spans="1:3" x14ac:dyDescent="0.25">
      <c r="A16" s="24" t="s">
        <v>123</v>
      </c>
      <c r="B16" s="25" t="s">
        <v>116</v>
      </c>
      <c r="C16" s="8">
        <v>46.13095238095238</v>
      </c>
    </row>
    <row r="17" spans="1:3" x14ac:dyDescent="0.25">
      <c r="A17" s="24" t="s">
        <v>124</v>
      </c>
      <c r="B17" s="25" t="s">
        <v>116</v>
      </c>
      <c r="C17" s="8">
        <v>41.666666666666671</v>
      </c>
    </row>
    <row r="18" spans="1:3" x14ac:dyDescent="0.25">
      <c r="A18" s="24" t="s">
        <v>125</v>
      </c>
      <c r="B18" s="25" t="s">
        <v>116</v>
      </c>
      <c r="C18" s="8">
        <v>5.2083333333333339</v>
      </c>
    </row>
    <row r="19" spans="1:3" x14ac:dyDescent="0.25">
      <c r="A19" s="24" t="s">
        <v>126</v>
      </c>
      <c r="B19" s="25" t="s">
        <v>116</v>
      </c>
      <c r="C19" s="8">
        <v>14.880952380952381</v>
      </c>
    </row>
    <row r="20" spans="1:3" x14ac:dyDescent="0.25">
      <c r="A20" s="24" t="s">
        <v>127</v>
      </c>
      <c r="B20" s="25" t="s">
        <v>116</v>
      </c>
      <c r="C20" s="8">
        <v>47.61904761904762</v>
      </c>
    </row>
    <row r="21" spans="1:3" x14ac:dyDescent="0.25">
      <c r="A21" s="24" t="s">
        <v>128</v>
      </c>
      <c r="B21" s="25" t="s">
        <v>116</v>
      </c>
      <c r="C21" s="8">
        <v>154.01785714285714</v>
      </c>
    </row>
    <row r="22" spans="1:3" x14ac:dyDescent="0.25">
      <c r="A22" s="24" t="s">
        <v>129</v>
      </c>
      <c r="B22" s="25" t="s">
        <v>116</v>
      </c>
      <c r="C22" s="8">
        <v>422.61904761904759</v>
      </c>
    </row>
    <row r="23" spans="1:3" x14ac:dyDescent="0.25">
      <c r="A23" s="24" t="s">
        <v>130</v>
      </c>
      <c r="B23" s="25" t="s">
        <v>116</v>
      </c>
      <c r="C23" s="8">
        <v>52.976190476190474</v>
      </c>
    </row>
    <row r="24" spans="1:3" x14ac:dyDescent="0.25">
      <c r="A24" s="24" t="s">
        <v>131</v>
      </c>
      <c r="B24" s="25" t="s">
        <v>116</v>
      </c>
      <c r="C24" s="8">
        <v>81.845238095238102</v>
      </c>
    </row>
    <row r="25" spans="1:3" ht="62.25" customHeight="1" x14ac:dyDescent="0.25">
      <c r="A25" s="24" t="s">
        <v>251</v>
      </c>
      <c r="B25" s="25" t="s">
        <v>133</v>
      </c>
      <c r="C25" s="8">
        <v>82.045764463938553</v>
      </c>
    </row>
    <row r="26" spans="1:3" ht="33.75" x14ac:dyDescent="0.25">
      <c r="A26" s="24" t="s">
        <v>134</v>
      </c>
      <c r="B26" s="25" t="s">
        <v>252</v>
      </c>
      <c r="C26" s="8">
        <v>190.75356250000002</v>
      </c>
    </row>
    <row r="27" spans="1:3" ht="45" x14ac:dyDescent="0.25">
      <c r="A27" s="24" t="s">
        <v>136</v>
      </c>
      <c r="B27" s="25"/>
      <c r="C27" s="26"/>
    </row>
    <row r="28" spans="1:3" x14ac:dyDescent="0.25">
      <c r="A28" s="6" t="s">
        <v>137</v>
      </c>
      <c r="B28" s="16" t="s">
        <v>138</v>
      </c>
      <c r="C28" s="8">
        <v>201.18281249999998</v>
      </c>
    </row>
    <row r="29" spans="1:3" x14ac:dyDescent="0.25">
      <c r="A29" s="6" t="s">
        <v>139</v>
      </c>
      <c r="B29" s="16" t="s">
        <v>138</v>
      </c>
      <c r="C29" s="8">
        <v>114.58333333333334</v>
      </c>
    </row>
    <row r="30" spans="1:3" x14ac:dyDescent="0.25">
      <c r="A30" s="6" t="s">
        <v>140</v>
      </c>
      <c r="B30" s="16" t="s">
        <v>138</v>
      </c>
      <c r="C30" s="8">
        <v>26.041666666666664</v>
      </c>
    </row>
    <row r="31" spans="1:3" x14ac:dyDescent="0.25">
      <c r="A31" s="6" t="s">
        <v>141</v>
      </c>
      <c r="B31" s="16" t="s">
        <v>138</v>
      </c>
      <c r="C31" s="8">
        <v>218.4239583333333</v>
      </c>
    </row>
    <row r="32" spans="1:3" x14ac:dyDescent="0.25">
      <c r="A32" s="6" t="s">
        <v>142</v>
      </c>
      <c r="B32" s="16" t="s">
        <v>138</v>
      </c>
      <c r="C32" s="8">
        <v>83.333333333333343</v>
      </c>
    </row>
    <row r="33" spans="1:3" x14ac:dyDescent="0.25">
      <c r="A33" s="6" t="s">
        <v>143</v>
      </c>
      <c r="B33" s="16" t="s">
        <v>138</v>
      </c>
      <c r="C33" s="8">
        <v>95.705729166666657</v>
      </c>
    </row>
    <row r="34" spans="1:3" x14ac:dyDescent="0.25">
      <c r="A34" s="6" t="s">
        <v>144</v>
      </c>
      <c r="B34" s="16" t="s">
        <v>138</v>
      </c>
      <c r="C34" s="8">
        <v>43.687499999999993</v>
      </c>
    </row>
    <row r="35" spans="1:3" x14ac:dyDescent="0.25">
      <c r="A35" s="26" t="s">
        <v>145</v>
      </c>
      <c r="B35" s="27" t="s">
        <v>138</v>
      </c>
      <c r="C35" s="8">
        <v>43.687499999999993</v>
      </c>
    </row>
    <row r="36" spans="1:3" x14ac:dyDescent="0.25">
      <c r="A36" s="26" t="s">
        <v>146</v>
      </c>
      <c r="B36" s="27" t="s">
        <v>138</v>
      </c>
      <c r="C36" s="8">
        <v>14.108854166666667</v>
      </c>
    </row>
    <row r="37" spans="1:3" x14ac:dyDescent="0.25">
      <c r="A37" s="26" t="s">
        <v>147</v>
      </c>
      <c r="B37" s="27" t="s">
        <v>138</v>
      </c>
      <c r="C37" s="8">
        <v>5.713541666666667</v>
      </c>
    </row>
    <row r="38" spans="1:3" x14ac:dyDescent="0.25">
      <c r="A38" s="26" t="s">
        <v>148</v>
      </c>
      <c r="B38" s="27" t="s">
        <v>138</v>
      </c>
      <c r="C38" s="8">
        <v>23.466666666666669</v>
      </c>
    </row>
    <row r="39" spans="1:3" x14ac:dyDescent="0.25">
      <c r="A39" s="26" t="s">
        <v>149</v>
      </c>
      <c r="B39" s="27" t="s">
        <v>138</v>
      </c>
      <c r="C39" s="8">
        <v>11.905208333333334</v>
      </c>
    </row>
    <row r="40" spans="1:3" x14ac:dyDescent="0.25">
      <c r="A40" s="26" t="s">
        <v>150</v>
      </c>
      <c r="B40" s="27" t="s">
        <v>138</v>
      </c>
      <c r="C40" s="8">
        <v>18.954687499999999</v>
      </c>
    </row>
    <row r="41" spans="1:3" x14ac:dyDescent="0.25">
      <c r="A41" s="26" t="s">
        <v>151</v>
      </c>
      <c r="B41" s="27" t="s">
        <v>138</v>
      </c>
      <c r="C41" s="8">
        <v>31.25</v>
      </c>
    </row>
    <row r="42" spans="1:3" x14ac:dyDescent="0.25">
      <c r="A42" s="26" t="s">
        <v>152</v>
      </c>
      <c r="B42" s="27" t="s">
        <v>138</v>
      </c>
      <c r="C42" s="8">
        <v>27.083333333333336</v>
      </c>
    </row>
    <row r="43" spans="1:3" x14ac:dyDescent="0.25">
      <c r="A43" s="26" t="s">
        <v>153</v>
      </c>
      <c r="B43" s="27" t="s">
        <v>138</v>
      </c>
      <c r="C43" s="8">
        <v>26.125624999999999</v>
      </c>
    </row>
    <row r="44" spans="1:3" x14ac:dyDescent="0.25">
      <c r="A44" s="26" t="s">
        <v>154</v>
      </c>
      <c r="B44" s="27" t="s">
        <v>138</v>
      </c>
      <c r="C44" s="8">
        <v>12.5</v>
      </c>
    </row>
    <row r="45" spans="1:3" x14ac:dyDescent="0.25">
      <c r="A45" s="26" t="s">
        <v>155</v>
      </c>
      <c r="B45" s="27" t="s">
        <v>138</v>
      </c>
      <c r="C45" s="8">
        <v>25</v>
      </c>
    </row>
    <row r="46" spans="1:3" x14ac:dyDescent="0.25">
      <c r="A46" s="26" t="s">
        <v>156</v>
      </c>
      <c r="B46" s="27" t="s">
        <v>138</v>
      </c>
      <c r="C46" s="8">
        <v>33.333333333333336</v>
      </c>
    </row>
    <row r="47" spans="1:3" ht="30" x14ac:dyDescent="0.25">
      <c r="A47" s="24" t="s">
        <v>157</v>
      </c>
      <c r="B47" s="25"/>
      <c r="C47" s="26"/>
    </row>
    <row r="48" spans="1:3" x14ac:dyDescent="0.25">
      <c r="A48" s="24" t="s">
        <v>158</v>
      </c>
      <c r="B48" s="25" t="s">
        <v>32</v>
      </c>
      <c r="C48" s="8">
        <v>113.78407446274416</v>
      </c>
    </row>
    <row r="49" spans="1:3" x14ac:dyDescent="0.25">
      <c r="A49" s="24" t="s">
        <v>159</v>
      </c>
      <c r="B49" s="25" t="s">
        <v>32</v>
      </c>
      <c r="C49" s="8">
        <v>113.78407446274416</v>
      </c>
    </row>
    <row r="50" spans="1:3" x14ac:dyDescent="0.25">
      <c r="A50" s="24" t="s">
        <v>160</v>
      </c>
      <c r="B50" s="25"/>
      <c r="C50" s="8"/>
    </row>
    <row r="51" spans="1:3" x14ac:dyDescent="0.25">
      <c r="A51" s="24" t="s">
        <v>163</v>
      </c>
      <c r="B51" s="25" t="s">
        <v>32</v>
      </c>
      <c r="C51" s="8">
        <v>119.08230189778344</v>
      </c>
    </row>
    <row r="52" spans="1:3" x14ac:dyDescent="0.25">
      <c r="A52" s="24" t="s">
        <v>164</v>
      </c>
      <c r="B52" s="25" t="s">
        <v>32</v>
      </c>
      <c r="C52" s="8">
        <v>39.694100632594484</v>
      </c>
    </row>
    <row r="53" spans="1:3" x14ac:dyDescent="0.25">
      <c r="A53" s="24" t="s">
        <v>165</v>
      </c>
      <c r="B53" s="25"/>
      <c r="C53" s="8"/>
    </row>
    <row r="54" spans="1:3" x14ac:dyDescent="0.25">
      <c r="A54" s="24" t="s">
        <v>166</v>
      </c>
      <c r="B54" s="25" t="s">
        <v>88</v>
      </c>
      <c r="C54" s="8">
        <v>21.177425530043593</v>
      </c>
    </row>
    <row r="55" spans="1:3" x14ac:dyDescent="0.25">
      <c r="A55" s="24" t="s">
        <v>167</v>
      </c>
      <c r="B55" s="25" t="s">
        <v>88</v>
      </c>
      <c r="C55" s="8">
        <v>17.647854608369663</v>
      </c>
    </row>
    <row r="56" spans="1:3" x14ac:dyDescent="0.25">
      <c r="A56" s="24" t="s">
        <v>253</v>
      </c>
      <c r="B56" s="25" t="s">
        <v>32</v>
      </c>
      <c r="C56" s="8">
        <v>32.23393699902509</v>
      </c>
    </row>
    <row r="57" spans="1:3" ht="90" x14ac:dyDescent="0.25">
      <c r="A57" s="24" t="s">
        <v>168</v>
      </c>
      <c r="B57" s="25"/>
      <c r="C57" s="26"/>
    </row>
    <row r="58" spans="1:3" x14ac:dyDescent="0.25">
      <c r="A58" s="24" t="s">
        <v>254</v>
      </c>
      <c r="B58" s="25" t="s">
        <v>32</v>
      </c>
      <c r="C58" s="28">
        <v>38.554572154389646</v>
      </c>
    </row>
    <row r="59" spans="1:3" x14ac:dyDescent="0.25">
      <c r="A59" s="24" t="s">
        <v>169</v>
      </c>
      <c r="B59" s="25" t="s">
        <v>32</v>
      </c>
      <c r="C59" s="28">
        <v>38.554572154389646</v>
      </c>
    </row>
    <row r="60" spans="1:3" x14ac:dyDescent="0.25">
      <c r="A60" s="24" t="s">
        <v>170</v>
      </c>
      <c r="B60" s="25" t="s">
        <v>32</v>
      </c>
      <c r="C60" s="28">
        <v>19.277286077194823</v>
      </c>
    </row>
    <row r="61" spans="1:3" x14ac:dyDescent="0.25">
      <c r="A61" s="24" t="s">
        <v>171</v>
      </c>
      <c r="B61" s="25" t="s">
        <v>32</v>
      </c>
      <c r="C61" s="28">
        <v>19.277286077194823</v>
      </c>
    </row>
    <row r="62" spans="1:3" x14ac:dyDescent="0.25">
      <c r="A62" s="24" t="s">
        <v>172</v>
      </c>
      <c r="B62" s="25" t="s">
        <v>32</v>
      </c>
      <c r="C62" s="28">
        <v>38.554572154389646</v>
      </c>
    </row>
    <row r="63" spans="1:3" x14ac:dyDescent="0.25">
      <c r="A63" s="24" t="s">
        <v>173</v>
      </c>
      <c r="B63" s="25" t="s">
        <v>32</v>
      </c>
      <c r="C63" s="28">
        <v>57.831858231584469</v>
      </c>
    </row>
    <row r="64" spans="1:3" x14ac:dyDescent="0.25">
      <c r="A64" s="24" t="s">
        <v>174</v>
      </c>
      <c r="B64" s="25" t="s">
        <v>32</v>
      </c>
      <c r="C64" s="28">
        <v>19.277286077194823</v>
      </c>
    </row>
    <row r="65" spans="1:3" ht="30" x14ac:dyDescent="0.25">
      <c r="A65" s="24" t="s">
        <v>175</v>
      </c>
      <c r="B65" s="25" t="s">
        <v>32</v>
      </c>
      <c r="C65" s="28">
        <v>115.66371646316894</v>
      </c>
    </row>
    <row r="66" spans="1:3" ht="30" x14ac:dyDescent="0.25">
      <c r="A66" s="24" t="s">
        <v>176</v>
      </c>
      <c r="B66" s="25" t="s">
        <v>32</v>
      </c>
      <c r="C66" s="28">
        <v>19.277286077194823</v>
      </c>
    </row>
    <row r="67" spans="1:3" ht="30" x14ac:dyDescent="0.25">
      <c r="A67" s="24" t="s">
        <v>177</v>
      </c>
      <c r="B67" s="25" t="s">
        <v>32</v>
      </c>
      <c r="C67" s="28">
        <v>7.7109144308779287</v>
      </c>
    </row>
    <row r="68" spans="1:3" x14ac:dyDescent="0.25">
      <c r="A68" s="24" t="s">
        <v>178</v>
      </c>
      <c r="B68" s="25" t="s">
        <v>32</v>
      </c>
      <c r="C68" s="28">
        <v>38.554572154389646</v>
      </c>
    </row>
    <row r="69" spans="1:3" x14ac:dyDescent="0.25">
      <c r="A69" s="24" t="s">
        <v>179</v>
      </c>
      <c r="B69" s="25" t="s">
        <v>32</v>
      </c>
      <c r="C69" s="28">
        <v>9.6386430385974116</v>
      </c>
    </row>
    <row r="70" spans="1:3" ht="30" x14ac:dyDescent="0.25">
      <c r="A70" s="24" t="s">
        <v>180</v>
      </c>
      <c r="B70" s="25" t="s">
        <v>32</v>
      </c>
      <c r="C70" s="28">
        <v>213.34288682767252</v>
      </c>
    </row>
    <row r="71" spans="1:3" x14ac:dyDescent="0.25">
      <c r="A71" s="24" t="s">
        <v>181</v>
      </c>
      <c r="B71" s="25" t="s">
        <v>32</v>
      </c>
      <c r="C71" s="28">
        <v>115.66371646316894</v>
      </c>
    </row>
    <row r="72" spans="1:3" ht="30" x14ac:dyDescent="0.25">
      <c r="A72" s="24" t="s">
        <v>182</v>
      </c>
      <c r="B72" s="25"/>
      <c r="C72" s="28"/>
    </row>
    <row r="73" spans="1:3" x14ac:dyDescent="0.25">
      <c r="A73" s="24" t="s">
        <v>183</v>
      </c>
      <c r="B73" s="25" t="s">
        <v>32</v>
      </c>
      <c r="C73" s="28">
        <v>77.109144308779292</v>
      </c>
    </row>
    <row r="74" spans="1:3" x14ac:dyDescent="0.25">
      <c r="A74" s="24" t="s">
        <v>184</v>
      </c>
      <c r="B74" s="25" t="s">
        <v>32</v>
      </c>
      <c r="C74" s="28">
        <v>38.554572154389646</v>
      </c>
    </row>
    <row r="75" spans="1:3" ht="45" x14ac:dyDescent="0.25">
      <c r="A75" s="24" t="s">
        <v>185</v>
      </c>
      <c r="B75" s="25" t="s">
        <v>32</v>
      </c>
      <c r="C75" s="28">
        <v>127.90458500508296</v>
      </c>
    </row>
    <row r="76" spans="1:3" x14ac:dyDescent="0.25">
      <c r="A76" s="21" t="s">
        <v>91</v>
      </c>
      <c r="B76" s="27"/>
      <c r="C76" s="26"/>
    </row>
    <row r="77" spans="1:3" ht="45" x14ac:dyDescent="0.25">
      <c r="A77" s="24" t="s">
        <v>255</v>
      </c>
      <c r="B77" s="25" t="s">
        <v>32</v>
      </c>
      <c r="C77" s="8">
        <v>238.97420090080288</v>
      </c>
    </row>
    <row r="78" spans="1:3" ht="30" x14ac:dyDescent="0.25">
      <c r="A78" s="24" t="s">
        <v>187</v>
      </c>
      <c r="B78" s="25"/>
      <c r="C78" s="8"/>
    </row>
    <row r="79" spans="1:3" ht="75" x14ac:dyDescent="0.25">
      <c r="A79" s="24" t="s">
        <v>188</v>
      </c>
      <c r="B79" s="25" t="s">
        <v>32</v>
      </c>
      <c r="C79" s="8">
        <v>145.04838278715846</v>
      </c>
    </row>
    <row r="80" spans="1:3" ht="90" x14ac:dyDescent="0.25">
      <c r="A80" s="24" t="s">
        <v>189</v>
      </c>
      <c r="B80" s="25" t="s">
        <v>32</v>
      </c>
      <c r="C80" s="8">
        <v>217.57257418073763</v>
      </c>
    </row>
    <row r="81" spans="1:3" x14ac:dyDescent="0.25">
      <c r="A81" s="24" t="s">
        <v>190</v>
      </c>
      <c r="B81" s="25" t="s">
        <v>32</v>
      </c>
      <c r="C81" s="8">
        <v>95.860951070599882</v>
      </c>
    </row>
    <row r="82" spans="1:3" ht="30" x14ac:dyDescent="0.25">
      <c r="A82" s="24" t="s">
        <v>191</v>
      </c>
      <c r="B82" s="25" t="s">
        <v>32</v>
      </c>
      <c r="C82" s="8">
        <v>104.49464140504277</v>
      </c>
    </row>
    <row r="83" spans="1:3" ht="30" x14ac:dyDescent="0.25">
      <c r="A83" s="24" t="s">
        <v>192</v>
      </c>
      <c r="B83" s="25"/>
      <c r="C83" s="8"/>
    </row>
    <row r="84" spans="1:3" x14ac:dyDescent="0.25">
      <c r="A84" s="24" t="s">
        <v>193</v>
      </c>
      <c r="B84" s="25" t="s">
        <v>194</v>
      </c>
      <c r="C84" s="8">
        <v>55.202951002324667</v>
      </c>
    </row>
    <row r="85" spans="1:3" x14ac:dyDescent="0.25">
      <c r="A85" s="24" t="s">
        <v>195</v>
      </c>
      <c r="B85" s="25" t="s">
        <v>194</v>
      </c>
      <c r="C85" s="8">
        <v>12.308099800864198</v>
      </c>
    </row>
    <row r="86" spans="1:3" ht="30" x14ac:dyDescent="0.25">
      <c r="A86" s="24" t="s">
        <v>196</v>
      </c>
      <c r="B86" s="25" t="s">
        <v>194</v>
      </c>
      <c r="C86" s="8">
        <v>61.540499004320978</v>
      </c>
    </row>
    <row r="87" spans="1:3" ht="45" x14ac:dyDescent="0.25">
      <c r="A87" s="24" t="s">
        <v>197</v>
      </c>
      <c r="B87" s="25" t="s">
        <v>194</v>
      </c>
      <c r="C87" s="8">
        <v>23.96523776764997</v>
      </c>
    </row>
    <row r="88" spans="1:3" ht="105" x14ac:dyDescent="0.25">
      <c r="A88" s="24" t="s">
        <v>198</v>
      </c>
      <c r="B88" s="25"/>
      <c r="C88" s="8"/>
    </row>
    <row r="89" spans="1:3" ht="30" x14ac:dyDescent="0.25">
      <c r="A89" s="24" t="s">
        <v>199</v>
      </c>
      <c r="B89" s="25" t="s">
        <v>32</v>
      </c>
      <c r="C89" s="8">
        <v>36.262095696789615</v>
      </c>
    </row>
    <row r="90" spans="1:3" ht="60" x14ac:dyDescent="0.25">
      <c r="A90" s="24" t="s">
        <v>200</v>
      </c>
      <c r="B90" s="25"/>
      <c r="C90" s="8"/>
    </row>
    <row r="91" spans="1:3" ht="30" x14ac:dyDescent="0.25">
      <c r="A91" s="24" t="s">
        <v>201</v>
      </c>
      <c r="B91" s="25" t="s">
        <v>32</v>
      </c>
      <c r="C91" s="8">
        <v>145.04838278715846</v>
      </c>
    </row>
    <row r="92" spans="1:3" ht="30" x14ac:dyDescent="0.25">
      <c r="A92" s="24" t="s">
        <v>202</v>
      </c>
      <c r="B92" s="25"/>
      <c r="C92" s="8"/>
    </row>
    <row r="93" spans="1:3" x14ac:dyDescent="0.25">
      <c r="A93" s="24" t="s">
        <v>203</v>
      </c>
      <c r="B93" s="25"/>
      <c r="C93" s="8"/>
    </row>
    <row r="94" spans="1:3" x14ac:dyDescent="0.25">
      <c r="A94" s="24" t="s">
        <v>204</v>
      </c>
      <c r="B94" s="25" t="s">
        <v>32</v>
      </c>
      <c r="C94" s="8">
        <v>108.78628709036882</v>
      </c>
    </row>
    <row r="95" spans="1:3" x14ac:dyDescent="0.25">
      <c r="A95" s="24" t="s">
        <v>205</v>
      </c>
      <c r="B95" s="25"/>
      <c r="C95" s="8"/>
    </row>
    <row r="96" spans="1:3" ht="30" x14ac:dyDescent="0.25">
      <c r="A96" s="24" t="s">
        <v>206</v>
      </c>
      <c r="B96" s="25" t="s">
        <v>32</v>
      </c>
      <c r="C96" s="8">
        <v>72.52419139357923</v>
      </c>
    </row>
    <row r="97" spans="1:3" x14ac:dyDescent="0.25">
      <c r="A97" s="24" t="s">
        <v>207</v>
      </c>
      <c r="B97" s="25" t="s">
        <v>32</v>
      </c>
      <c r="C97" s="8">
        <v>290.09676557431692</v>
      </c>
    </row>
    <row r="98" spans="1:3" ht="30" x14ac:dyDescent="0.25">
      <c r="A98" s="24" t="s">
        <v>208</v>
      </c>
      <c r="B98" s="25" t="s">
        <v>32</v>
      </c>
      <c r="C98" s="8">
        <v>358.46130135120433</v>
      </c>
    </row>
    <row r="99" spans="1:3" ht="30" x14ac:dyDescent="0.25">
      <c r="A99" s="24" t="s">
        <v>209</v>
      </c>
      <c r="B99" s="25"/>
      <c r="C99" s="8"/>
    </row>
    <row r="100" spans="1:3" ht="30" x14ac:dyDescent="0.25">
      <c r="A100" s="24" t="s">
        <v>210</v>
      </c>
      <c r="B100" s="25" t="s">
        <v>32</v>
      </c>
      <c r="C100" s="8">
        <v>290.09676557431692</v>
      </c>
    </row>
    <row r="101" spans="1:3" ht="30" x14ac:dyDescent="0.25">
      <c r="A101" s="24" t="s">
        <v>71</v>
      </c>
      <c r="B101" s="25" t="s">
        <v>32</v>
      </c>
      <c r="C101" s="8">
        <v>139.32618854005699</v>
      </c>
    </row>
    <row r="102" spans="1:3" ht="30" x14ac:dyDescent="0.25">
      <c r="A102" s="24" t="s">
        <v>211</v>
      </c>
      <c r="B102" s="25" t="s">
        <v>32</v>
      </c>
      <c r="C102" s="8">
        <v>278.65237708011398</v>
      </c>
    </row>
    <row r="103" spans="1:3" ht="30" x14ac:dyDescent="0.25">
      <c r="A103" s="24" t="s">
        <v>212</v>
      </c>
      <c r="B103" s="25"/>
      <c r="C103" s="8"/>
    </row>
    <row r="104" spans="1:3" x14ac:dyDescent="0.25">
      <c r="A104" s="24" t="s">
        <v>213</v>
      </c>
      <c r="B104" s="25" t="s">
        <v>32</v>
      </c>
      <c r="C104" s="8">
        <v>36.262095696789615</v>
      </c>
    </row>
    <row r="105" spans="1:3" ht="30" x14ac:dyDescent="0.25">
      <c r="A105" s="24" t="s">
        <v>214</v>
      </c>
      <c r="B105" s="25" t="s">
        <v>32</v>
      </c>
      <c r="C105" s="8">
        <v>290.09676557431692</v>
      </c>
    </row>
    <row r="106" spans="1:3" ht="45" x14ac:dyDescent="0.25">
      <c r="A106" s="24" t="s">
        <v>215</v>
      </c>
      <c r="B106" s="25" t="s">
        <v>32</v>
      </c>
      <c r="C106" s="8">
        <v>213.34288682767252</v>
      </c>
    </row>
    <row r="107" spans="1:3" x14ac:dyDescent="0.25">
      <c r="A107" s="24" t="s">
        <v>216</v>
      </c>
      <c r="B107" s="25" t="s">
        <v>32</v>
      </c>
      <c r="C107" s="8">
        <v>119.48710045040144</v>
      </c>
    </row>
    <row r="108" spans="1:3" ht="30" x14ac:dyDescent="0.25">
      <c r="A108" s="24" t="s">
        <v>217</v>
      </c>
      <c r="B108" s="25"/>
      <c r="C108" s="8"/>
    </row>
    <row r="109" spans="1:3" x14ac:dyDescent="0.25">
      <c r="A109" s="24" t="s">
        <v>218</v>
      </c>
      <c r="B109" s="25" t="s">
        <v>32</v>
      </c>
      <c r="C109" s="8">
        <v>36.262095696789615</v>
      </c>
    </row>
    <row r="110" spans="1:3" ht="30" x14ac:dyDescent="0.25">
      <c r="A110" s="24" t="s">
        <v>219</v>
      </c>
      <c r="B110" s="25"/>
      <c r="C110" s="8"/>
    </row>
    <row r="111" spans="1:3" x14ac:dyDescent="0.25">
      <c r="A111" s="24" t="s">
        <v>218</v>
      </c>
      <c r="B111" s="25" t="s">
        <v>32</v>
      </c>
      <c r="C111" s="8">
        <v>36.262095696789615</v>
      </c>
    </row>
    <row r="112" spans="1:3" x14ac:dyDescent="0.25">
      <c r="A112" s="24" t="s">
        <v>220</v>
      </c>
      <c r="B112" s="25" t="s">
        <v>32</v>
      </c>
      <c r="C112" s="8">
        <v>290.09676557431692</v>
      </c>
    </row>
    <row r="113" spans="1:3" x14ac:dyDescent="0.25">
      <c r="A113" s="24" t="s">
        <v>221</v>
      </c>
      <c r="B113" s="25" t="s">
        <v>32</v>
      </c>
      <c r="C113" s="8">
        <v>208.98928281008554</v>
      </c>
    </row>
    <row r="114" spans="1:3" ht="30" x14ac:dyDescent="0.25">
      <c r="A114" s="24" t="s">
        <v>222</v>
      </c>
      <c r="B114" s="25"/>
      <c r="C114" s="8"/>
    </row>
    <row r="115" spans="1:3" ht="60" x14ac:dyDescent="0.25">
      <c r="A115" s="24" t="s">
        <v>256</v>
      </c>
      <c r="B115" s="25" t="s">
        <v>32</v>
      </c>
      <c r="C115" s="8">
        <v>139.32618854005699</v>
      </c>
    </row>
    <row r="116" spans="1:3" x14ac:dyDescent="0.25">
      <c r="A116" s="24" t="s">
        <v>223</v>
      </c>
      <c r="B116" s="25"/>
      <c r="C116" s="8"/>
    </row>
    <row r="117" spans="1:3" ht="45" x14ac:dyDescent="0.25">
      <c r="A117" s="24" t="s">
        <v>224</v>
      </c>
      <c r="B117" s="25" t="s">
        <v>32</v>
      </c>
      <c r="C117" s="8">
        <v>72.52419139357923</v>
      </c>
    </row>
    <row r="118" spans="1:3" x14ac:dyDescent="0.25">
      <c r="A118" s="24" t="s">
        <v>220</v>
      </c>
      <c r="B118" s="25" t="s">
        <v>32</v>
      </c>
      <c r="C118" s="8">
        <v>290.09676557431692</v>
      </c>
    </row>
    <row r="119" spans="1:3" ht="30" x14ac:dyDescent="0.25">
      <c r="A119" s="24" t="s">
        <v>225</v>
      </c>
      <c r="B119" s="25"/>
      <c r="C119" s="8"/>
    </row>
    <row r="120" spans="1:3" x14ac:dyDescent="0.25">
      <c r="A120" s="24" t="s">
        <v>226</v>
      </c>
      <c r="B120" s="25" t="s">
        <v>32</v>
      </c>
      <c r="C120" s="8">
        <v>122.80965762679713</v>
      </c>
    </row>
    <row r="121" spans="1:3" x14ac:dyDescent="0.25">
      <c r="A121" s="24" t="s">
        <v>227</v>
      </c>
      <c r="B121" s="25" t="s">
        <v>32</v>
      </c>
      <c r="C121" s="8">
        <v>102.34138135566428</v>
      </c>
    </row>
    <row r="122" spans="1:3" x14ac:dyDescent="0.25">
      <c r="A122" s="24" t="s">
        <v>228</v>
      </c>
      <c r="B122" s="25" t="s">
        <v>229</v>
      </c>
      <c r="C122" s="8">
        <v>4.0936552542265714</v>
      </c>
    </row>
    <row r="123" spans="1:3" ht="60" x14ac:dyDescent="0.25">
      <c r="A123" s="24" t="s">
        <v>257</v>
      </c>
      <c r="B123" s="25" t="s">
        <v>32</v>
      </c>
      <c r="C123" s="8">
        <v>255.80917001016593</v>
      </c>
    </row>
    <row r="124" spans="1:3" x14ac:dyDescent="0.25">
      <c r="A124" s="21" t="s">
        <v>73</v>
      </c>
      <c r="B124" s="27"/>
      <c r="C124" s="26"/>
    </row>
    <row r="125" spans="1:3" ht="30" x14ac:dyDescent="0.25">
      <c r="A125" s="24" t="s">
        <v>230</v>
      </c>
      <c r="B125" s="25"/>
      <c r="C125" s="26"/>
    </row>
    <row r="126" spans="1:3" x14ac:dyDescent="0.25">
      <c r="A126" s="24" t="s">
        <v>231</v>
      </c>
      <c r="B126" s="25" t="s">
        <v>32</v>
      </c>
      <c r="C126" s="8">
        <v>255.80917001016593</v>
      </c>
    </row>
    <row r="127" spans="1:3" x14ac:dyDescent="0.25">
      <c r="A127" s="24" t="s">
        <v>232</v>
      </c>
      <c r="B127" s="25" t="s">
        <v>32</v>
      </c>
      <c r="C127" s="8">
        <v>255.80917001016593</v>
      </c>
    </row>
    <row r="128" spans="1:3" x14ac:dyDescent="0.25">
      <c r="A128" s="24" t="s">
        <v>233</v>
      </c>
      <c r="B128" s="25"/>
      <c r="C128" s="26"/>
    </row>
    <row r="129" spans="1:3" ht="45" x14ac:dyDescent="0.25">
      <c r="A129" s="24" t="s">
        <v>234</v>
      </c>
      <c r="B129" s="25" t="s">
        <v>32</v>
      </c>
      <c r="C129" s="8">
        <v>255.80917001016593</v>
      </c>
    </row>
    <row r="130" spans="1:3" x14ac:dyDescent="0.25">
      <c r="A130" s="21" t="s">
        <v>235</v>
      </c>
      <c r="B130" s="27"/>
      <c r="C130" s="26"/>
    </row>
    <row r="131" spans="1:3" x14ac:dyDescent="0.25">
      <c r="A131" s="24" t="s">
        <v>236</v>
      </c>
      <c r="B131" s="25"/>
      <c r="C131" s="26"/>
    </row>
    <row r="132" spans="1:3" ht="30" x14ac:dyDescent="0.25">
      <c r="A132" s="24" t="s">
        <v>237</v>
      </c>
      <c r="B132" s="25" t="s">
        <v>32</v>
      </c>
      <c r="C132" s="8">
        <v>255.80917001016593</v>
      </c>
    </row>
    <row r="133" spans="1:3" ht="45" x14ac:dyDescent="0.25">
      <c r="A133" s="24" t="s">
        <v>238</v>
      </c>
      <c r="B133" s="25"/>
      <c r="C133" s="8"/>
    </row>
    <row r="134" spans="1:3" ht="30" x14ac:dyDescent="0.25">
      <c r="A134" s="24" t="s">
        <v>239</v>
      </c>
      <c r="B134" s="25" t="s">
        <v>32</v>
      </c>
      <c r="C134" s="8">
        <v>255.80917001016593</v>
      </c>
    </row>
    <row r="135" spans="1:3" ht="30" x14ac:dyDescent="0.25">
      <c r="A135" s="24" t="s">
        <v>240</v>
      </c>
      <c r="B135" s="25" t="s">
        <v>32</v>
      </c>
      <c r="C135" s="8">
        <v>255.80917001016593</v>
      </c>
    </row>
    <row r="136" spans="1:3" ht="60" x14ac:dyDescent="0.25">
      <c r="A136" s="24" t="s">
        <v>241</v>
      </c>
      <c r="B136" s="25"/>
      <c r="C136" s="26"/>
    </row>
    <row r="137" spans="1:3" ht="75" x14ac:dyDescent="0.25">
      <c r="A137" s="24" t="s">
        <v>242</v>
      </c>
      <c r="B137" s="25" t="s">
        <v>32</v>
      </c>
      <c r="C137" s="8">
        <v>255.80917001016593</v>
      </c>
    </row>
    <row r="138" spans="1:3" x14ac:dyDescent="0.25">
      <c r="A138" s="24" t="s">
        <v>243</v>
      </c>
      <c r="B138" s="25" t="s">
        <v>32</v>
      </c>
      <c r="C138" s="8">
        <v>371.51267411117317</v>
      </c>
    </row>
    <row r="139" spans="1:3" ht="75" x14ac:dyDescent="0.25">
      <c r="A139" s="24" t="s">
        <v>258</v>
      </c>
      <c r="B139" s="25" t="s">
        <v>32</v>
      </c>
      <c r="C139" s="8">
        <v>255.80917001016593</v>
      </c>
    </row>
    <row r="140" spans="1:3" ht="180" x14ac:dyDescent="0.25">
      <c r="A140" s="24" t="s">
        <v>259</v>
      </c>
      <c r="B140" s="25" t="s">
        <v>32</v>
      </c>
      <c r="C140" s="8">
        <v>255.80917001016593</v>
      </c>
    </row>
    <row r="141" spans="1:3" x14ac:dyDescent="0.25">
      <c r="A141" s="21" t="s">
        <v>244</v>
      </c>
      <c r="B141" s="27"/>
      <c r="C141" s="26"/>
    </row>
    <row r="142" spans="1:3" ht="213.75" x14ac:dyDescent="0.25">
      <c r="A142" s="24" t="s">
        <v>260</v>
      </c>
      <c r="B142" s="25" t="s">
        <v>246</v>
      </c>
      <c r="C142" s="19">
        <v>842.94</v>
      </c>
    </row>
    <row r="143" spans="1:3" x14ac:dyDescent="0.25">
      <c r="A143" s="21" t="s">
        <v>75</v>
      </c>
      <c r="B143" s="27"/>
      <c r="C143" s="26"/>
    </row>
    <row r="144" spans="1:3" ht="60" x14ac:dyDescent="0.25">
      <c r="A144" s="24" t="s">
        <v>247</v>
      </c>
      <c r="B144" s="25" t="s">
        <v>32</v>
      </c>
      <c r="C144" s="8">
        <v>278.65237708011398</v>
      </c>
    </row>
    <row r="145" spans="1:3" x14ac:dyDescent="0.25">
      <c r="A145" s="24" t="s">
        <v>261</v>
      </c>
      <c r="B145" s="25" t="s">
        <v>32</v>
      </c>
      <c r="C145" s="8">
        <v>278.65237708011398</v>
      </c>
    </row>
    <row r="146" spans="1:3" ht="180" x14ac:dyDescent="0.25">
      <c r="A146" s="24" t="s">
        <v>262</v>
      </c>
      <c r="B146" s="25" t="s">
        <v>32</v>
      </c>
      <c r="C146" s="8">
        <v>278.65237708011398</v>
      </c>
    </row>
  </sheetData>
  <mergeCells count="3">
    <mergeCell ref="A1:A3"/>
    <mergeCell ref="B1:B3"/>
    <mergeCell ref="C1:C3"/>
  </mergeCells>
  <phoneticPr fontId="15" type="noConversion"/>
  <conditionalFormatting sqref="B4:C6 B28:B34">
    <cfRule type="containsText" dxfId="37" priority="1" stopIfTrue="1" operator="containsText" text="#ЗНАЧ!">
      <formula>NOT(ISERROR(SEARCH("#ЗНАЧ!",B4)))</formula>
    </cfRule>
    <cfRule type="containsText" dxfId="36" priority="2" stopIfTrue="1" operator="containsText" text="#ЗНАЧ!">
      <formula>NOT(ISERROR(SEARCH("#ЗНАЧ!",B4)))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workbookViewId="0">
      <pane ySplit="2" topLeftCell="A3" activePane="bottomLeft" state="frozen"/>
      <selection pane="bottomLeft" activeCell="H8" sqref="H8"/>
    </sheetView>
  </sheetViews>
  <sheetFormatPr defaultColWidth="43.85546875" defaultRowHeight="15" outlineLevelRow="1" x14ac:dyDescent="0.25"/>
  <cols>
    <col min="1" max="1" width="43.85546875" style="35" customWidth="1"/>
    <col min="2" max="2" width="11.140625" style="30" customWidth="1"/>
    <col min="3" max="3" width="13.5703125" style="35" customWidth="1"/>
    <col min="4" max="4" width="11" customWidth="1"/>
    <col min="5" max="5" width="11.140625" customWidth="1"/>
    <col min="6" max="6" width="11.28515625" customWidth="1"/>
    <col min="7" max="255" width="9.140625" customWidth="1"/>
  </cols>
  <sheetData>
    <row r="1" spans="1:6" ht="15" customHeight="1" x14ac:dyDescent="0.25">
      <c r="A1" s="307" t="s">
        <v>0</v>
      </c>
      <c r="B1" s="301" t="s">
        <v>1</v>
      </c>
      <c r="C1" s="308" t="s">
        <v>2</v>
      </c>
      <c r="D1" s="303" t="s">
        <v>316</v>
      </c>
      <c r="E1" s="303" t="s">
        <v>4</v>
      </c>
      <c r="F1" s="303" t="s">
        <v>317</v>
      </c>
    </row>
    <row r="2" spans="1:6" ht="30" customHeight="1" x14ac:dyDescent="0.25">
      <c r="A2" s="307"/>
      <c r="B2" s="301"/>
      <c r="C2" s="309"/>
      <c r="D2" s="303"/>
      <c r="E2" s="303"/>
      <c r="F2" s="303"/>
    </row>
    <row r="3" spans="1:6" ht="44.25" customHeight="1" x14ac:dyDescent="0.25">
      <c r="A3" s="304" t="str">
        <f>[2]Табл.11!A681</f>
        <v xml:space="preserve">5. Предоставление временного приюта лицам, освободившимся из мест лишения свободы, и лицам без определенного места жительства и занятий в Тюменской области </v>
      </c>
      <c r="B3" s="305"/>
      <c r="C3" s="305"/>
      <c r="D3" s="305"/>
      <c r="E3" s="305"/>
      <c r="F3" s="306"/>
    </row>
    <row r="4" spans="1:6" outlineLevel="1" x14ac:dyDescent="0.25">
      <c r="A4" s="6" t="str">
        <f>[1]СВОД!A757</f>
        <v>Социально-бытовые услуги</v>
      </c>
      <c r="B4" s="15"/>
      <c r="C4" s="31"/>
      <c r="D4" s="7"/>
      <c r="E4" s="7"/>
      <c r="F4" s="7"/>
    </row>
    <row r="5" spans="1:6" ht="22.5" outlineLevel="1" x14ac:dyDescent="0.25">
      <c r="A5" s="18" t="str">
        <f>[1]СВОД!A758</f>
        <v>Временное размещение</v>
      </c>
      <c r="B5" s="16" t="str">
        <f>[2]БОМЖ!C18</f>
        <v>1 кв.м., на 1 чел.в месяц</v>
      </c>
      <c r="C5" s="32" t="e">
        <f>MAX(D5:F5)</f>
        <v>#REF!</v>
      </c>
      <c r="D5" s="8">
        <f>[1]СВОД!C758</f>
        <v>141.4528442062421</v>
      </c>
      <c r="E5" s="8">
        <f>[1]СВОД!E758</f>
        <v>71.676510199260093</v>
      </c>
      <c r="F5" s="8" t="e">
        <f>[1]СВОД!F758</f>
        <v>#REF!</v>
      </c>
    </row>
    <row r="6" spans="1:6" ht="30" outlineLevel="1" x14ac:dyDescent="0.25">
      <c r="A6" s="17" t="str">
        <f>[1]СВОД!A759</f>
        <v>Обеспечение горячим питанием или продуктовым набором</v>
      </c>
      <c r="B6" s="16" t="str">
        <f>[2]БОМЖ!C19</f>
        <v>1 раз в день</v>
      </c>
      <c r="C6" s="32" t="e">
        <f t="shared" ref="C6:C50" si="0">MAX(D6:F6)</f>
        <v>#REF!</v>
      </c>
      <c r="D6" s="8">
        <f>[1]СВОД!C759</f>
        <v>863.12402626352775</v>
      </c>
      <c r="E6" s="8">
        <f>[1]СВОД!E759</f>
        <v>272.32200609911661</v>
      </c>
      <c r="F6" s="8" t="e">
        <f>[1]СВОД!F759</f>
        <v>#REF!</v>
      </c>
    </row>
    <row r="7" spans="1:6" outlineLevel="1" x14ac:dyDescent="0.25">
      <c r="A7" s="33" t="str">
        <f>[1]СВОД!A760</f>
        <v xml:space="preserve">Предоставление в пользование мебели </v>
      </c>
      <c r="B7" s="16"/>
      <c r="C7" s="32" t="e">
        <f>MAX(C8:C10)</f>
        <v>#REF!</v>
      </c>
      <c r="D7" s="32">
        <f>MAX(D8:D10)</f>
        <v>133.31845238095238</v>
      </c>
      <c r="E7" s="32">
        <f>MAX(E8:E10)</f>
        <v>40.223214285714292</v>
      </c>
      <c r="F7" s="32" t="e">
        <f>MAX(F8:F10)</f>
        <v>#REF!</v>
      </c>
    </row>
    <row r="8" spans="1:6" outlineLevel="1" x14ac:dyDescent="0.25">
      <c r="A8" s="17" t="str">
        <f>[1]СВОД!A761</f>
        <v>Кровать с матрацем</v>
      </c>
      <c r="B8" s="16" t="str">
        <f>[2]БОМЖ!C21</f>
        <v xml:space="preserve"> 1 ед.</v>
      </c>
      <c r="C8" s="32" t="e">
        <f t="shared" si="0"/>
        <v>#REF!</v>
      </c>
      <c r="D8" s="8">
        <f>[1]СВОД!C761</f>
        <v>133.31845238095238</v>
      </c>
      <c r="E8" s="8">
        <f>[1]СВОД!E761</f>
        <v>40.223214285714292</v>
      </c>
      <c r="F8" s="8" t="e">
        <f>[1]СВОД!F761</f>
        <v>#REF!</v>
      </c>
    </row>
    <row r="9" spans="1:6" outlineLevel="1" x14ac:dyDescent="0.25">
      <c r="A9" s="17" t="str">
        <f>[1]СВОД!A762</f>
        <v>Тумбочка</v>
      </c>
      <c r="B9" s="16" t="str">
        <f>[2]БОМЖ!C22</f>
        <v xml:space="preserve"> 1 ед.</v>
      </c>
      <c r="C9" s="32" t="e">
        <f t="shared" si="0"/>
        <v>#REF!</v>
      </c>
      <c r="D9" s="8">
        <f>[1]СВОД!C762</f>
        <v>52.083333333333329</v>
      </c>
      <c r="E9" s="8">
        <f>[1]СВОД!E762</f>
        <v>22.916666666666664</v>
      </c>
      <c r="F9" s="8" t="e">
        <f>[1]СВОД!F762</f>
        <v>#REF!</v>
      </c>
    </row>
    <row r="10" spans="1:6" outlineLevel="1" x14ac:dyDescent="0.25">
      <c r="A10" s="17" t="str">
        <f>[1]СВОД!A763</f>
        <v xml:space="preserve">Стул </v>
      </c>
      <c r="B10" s="16" t="str">
        <f>[2]БОМЖ!C23</f>
        <v xml:space="preserve"> 1 ед.</v>
      </c>
      <c r="C10" s="32" t="e">
        <f t="shared" si="0"/>
        <v>#REF!</v>
      </c>
      <c r="D10" s="8">
        <f>[1]СВОД!C763</f>
        <v>80.177777777777777</v>
      </c>
      <c r="E10" s="8">
        <f>[1]СВОД!E763</f>
        <v>7.1428571428571432</v>
      </c>
      <c r="F10" s="8" t="e">
        <f>[1]СВОД!F763</f>
        <v>#REF!</v>
      </c>
    </row>
    <row r="11" spans="1:6" outlineLevel="1" x14ac:dyDescent="0.25">
      <c r="A11" s="33" t="str">
        <f>[1]СВОД!A764</f>
        <v>Предоставление мягкого инвентаря:</v>
      </c>
      <c r="B11" s="16"/>
      <c r="C11" s="32"/>
      <c r="D11" s="8"/>
      <c r="E11" s="8"/>
      <c r="F11" s="8"/>
    </row>
    <row r="12" spans="1:6" outlineLevel="1" x14ac:dyDescent="0.25">
      <c r="A12" s="34" t="str">
        <f>[1]СВОД!A765</f>
        <v xml:space="preserve">нательное белье </v>
      </c>
      <c r="B12" s="16"/>
      <c r="C12" s="32" t="e">
        <f>MAX(C13:C15)</f>
        <v>#REF!</v>
      </c>
      <c r="D12" s="32">
        <f>MAX(D13:D15)</f>
        <v>187.5</v>
      </c>
      <c r="E12" s="32">
        <f>MAX(E13:E15)</f>
        <v>15.625</v>
      </c>
      <c r="F12" s="32" t="e">
        <f>MAX(F13:F15)</f>
        <v>#REF!</v>
      </c>
    </row>
    <row r="13" spans="1:6" outlineLevel="1" x14ac:dyDescent="0.25">
      <c r="A13" s="17" t="str">
        <f>[1]СВОД!A766</f>
        <v>Трусы</v>
      </c>
      <c r="B13" s="16" t="str">
        <f>[2]БОМЖ!C26</f>
        <v>1 ед.</v>
      </c>
      <c r="C13" s="32" t="e">
        <f>MAX(D13:F13)</f>
        <v>#REF!</v>
      </c>
      <c r="D13" s="8">
        <f>[1]СВОД!C766</f>
        <v>125</v>
      </c>
      <c r="E13" s="8">
        <f>[1]СВОД!E766</f>
        <v>7.2916666666666661</v>
      </c>
      <c r="F13" s="8" t="e">
        <f>[1]СВОД!F766</f>
        <v>#REF!</v>
      </c>
    </row>
    <row r="14" spans="1:6" outlineLevel="1" x14ac:dyDescent="0.25">
      <c r="A14" s="17" t="str">
        <f>[1]СВОД!A767</f>
        <v>Майка</v>
      </c>
      <c r="B14" s="16" t="str">
        <f>[2]БОМЖ!C27</f>
        <v>1 ед.</v>
      </c>
      <c r="C14" s="32" t="e">
        <f t="shared" si="0"/>
        <v>#REF!</v>
      </c>
      <c r="D14" s="8">
        <f>[1]СВОД!C767</f>
        <v>187.5</v>
      </c>
      <c r="E14" s="8">
        <f>[1]СВОД!E767</f>
        <v>8.8541666666666661</v>
      </c>
      <c r="F14" s="8" t="e">
        <f>[1]СВОД!F767</f>
        <v>#REF!</v>
      </c>
    </row>
    <row r="15" spans="1:6" outlineLevel="1" x14ac:dyDescent="0.25">
      <c r="A15" s="17" t="str">
        <f>[1]СВОД!A768</f>
        <v>Обувь комнатная (тапочки)</v>
      </c>
      <c r="B15" s="16" t="str">
        <f>[2]БОМЖ!C28</f>
        <v>1 ед.</v>
      </c>
      <c r="C15" s="32" t="e">
        <f t="shared" si="0"/>
        <v>#REF!</v>
      </c>
      <c r="D15" s="8">
        <f>[1]СВОД!C768</f>
        <v>62.5</v>
      </c>
      <c r="E15" s="8">
        <f>[1]СВОД!E768</f>
        <v>15.625</v>
      </c>
      <c r="F15" s="8" t="e">
        <f>[1]СВОД!F768</f>
        <v>#REF!</v>
      </c>
    </row>
    <row r="16" spans="1:6" outlineLevel="1" x14ac:dyDescent="0.25">
      <c r="A16" s="34" t="str">
        <f>[1]СВОД!A769</f>
        <v xml:space="preserve">постельные принадлежности </v>
      </c>
      <c r="B16" s="16"/>
      <c r="C16" s="32" t="e">
        <f>MAX(C17:C20)</f>
        <v>#REF!</v>
      </c>
      <c r="D16" s="32">
        <f>MAX(D17:D20)</f>
        <v>81.25</v>
      </c>
      <c r="E16" s="32">
        <f>MAX(E17:E20)</f>
        <v>81.25</v>
      </c>
      <c r="F16" s="32" t="e">
        <f>MAX(F17:F20)</f>
        <v>#REF!</v>
      </c>
    </row>
    <row r="17" spans="1:6" outlineLevel="1" x14ac:dyDescent="0.25">
      <c r="A17" s="17" t="str">
        <f>[1]СВОД!A770</f>
        <v>Пододеяльник</v>
      </c>
      <c r="B17" s="16" t="str">
        <f>[2]БОМЖ!C30</f>
        <v>1 ед.</v>
      </c>
      <c r="C17" s="32" t="e">
        <f t="shared" si="0"/>
        <v>#REF!</v>
      </c>
      <c r="D17" s="8">
        <f>[1]СВОД!C770</f>
        <v>62.5</v>
      </c>
      <c r="E17" s="8">
        <f>[1]СВОД!E770</f>
        <v>20.833333333333336</v>
      </c>
      <c r="F17" s="8" t="e">
        <f>[1]СВОД!F770</f>
        <v>#REF!</v>
      </c>
    </row>
    <row r="18" spans="1:6" outlineLevel="1" x14ac:dyDescent="0.25">
      <c r="A18" s="17" t="str">
        <f>[1]СВОД!A771</f>
        <v>Простыня</v>
      </c>
      <c r="B18" s="16" t="str">
        <f>[2]БОМЖ!C31</f>
        <v>1 ед.</v>
      </c>
      <c r="C18" s="32" t="e">
        <f t="shared" si="0"/>
        <v>#REF!</v>
      </c>
      <c r="D18" s="8">
        <f>[1]СВОД!C771</f>
        <v>41.666666666666671</v>
      </c>
      <c r="E18" s="8">
        <f>[1]СВОД!E771</f>
        <v>16.666666666666668</v>
      </c>
      <c r="F18" s="8" t="e">
        <f>[1]СВОД!F771</f>
        <v>#REF!</v>
      </c>
    </row>
    <row r="19" spans="1:6" outlineLevel="1" x14ac:dyDescent="0.25">
      <c r="A19" s="17" t="str">
        <f>[1]СВОД!A772</f>
        <v>Наволочка</v>
      </c>
      <c r="B19" s="16" t="str">
        <f>[2]БОМЖ!C32</f>
        <v>1 ед.</v>
      </c>
      <c r="C19" s="32" t="e">
        <f t="shared" si="0"/>
        <v>#REF!</v>
      </c>
      <c r="D19" s="8">
        <f>[1]СВОД!C772</f>
        <v>20.833333333333336</v>
      </c>
      <c r="E19" s="8">
        <f>[1]СВОД!E772</f>
        <v>5.2083333333333339</v>
      </c>
      <c r="F19" s="8" t="e">
        <f>[1]СВОД!F772</f>
        <v>#REF!</v>
      </c>
    </row>
    <row r="20" spans="1:6" outlineLevel="1" x14ac:dyDescent="0.25">
      <c r="A20" s="17" t="str">
        <f>[1]СВОД!A773</f>
        <v>Одеяло шерстяное</v>
      </c>
      <c r="B20" s="16" t="str">
        <f>[2]БОМЖ!C33</f>
        <v>1 ед.</v>
      </c>
      <c r="C20" s="32" t="e">
        <f t="shared" si="0"/>
        <v>#REF!</v>
      </c>
      <c r="D20" s="8">
        <f>[1]СВОД!C773</f>
        <v>81.25</v>
      </c>
      <c r="E20" s="8">
        <f>[1]СВОД!E773</f>
        <v>81.25</v>
      </c>
      <c r="F20" s="8" t="e">
        <f>[1]СВОД!F773</f>
        <v>#REF!</v>
      </c>
    </row>
    <row r="21" spans="1:6" outlineLevel="1" x14ac:dyDescent="0.25">
      <c r="A21" s="17" t="str">
        <f>[1]СВОД!A774</f>
        <v xml:space="preserve">Дезинфекционная обработка:   </v>
      </c>
      <c r="B21" s="16"/>
      <c r="C21" s="32"/>
      <c r="D21" s="8"/>
      <c r="E21" s="8"/>
      <c r="F21" s="8"/>
    </row>
    <row r="22" spans="1:6" outlineLevel="1" x14ac:dyDescent="0.25">
      <c r="A22" s="17" t="str">
        <f>[1]СВОД!A775</f>
        <v xml:space="preserve"> - личных вещей</v>
      </c>
      <c r="B22" s="16" t="str">
        <f>[2]БОМЖ!C35</f>
        <v>1 услуга</v>
      </c>
      <c r="C22" s="32" t="e">
        <f t="shared" si="0"/>
        <v>#REF!</v>
      </c>
      <c r="D22" s="8">
        <f>[1]СВОД!C775</f>
        <v>18.340994918032951</v>
      </c>
      <c r="E22" s="8">
        <f>[1]СВОД!E775</f>
        <v>18.017653718586701</v>
      </c>
      <c r="F22" s="8" t="e">
        <f>[1]СВОД!F775</f>
        <v>#REF!</v>
      </c>
    </row>
    <row r="23" spans="1:6" outlineLevel="1" x14ac:dyDescent="0.25">
      <c r="A23" s="17" t="str">
        <f>[1]СВОД!A776</f>
        <v xml:space="preserve"> - мягкого инвентаря</v>
      </c>
      <c r="B23" s="16" t="str">
        <f>[2]БОМЖ!C36</f>
        <v>1 услуга</v>
      </c>
      <c r="C23" s="32" t="e">
        <f t="shared" si="0"/>
        <v>#REF!</v>
      </c>
      <c r="D23" s="8">
        <f>[1]СВОД!C776</f>
        <v>25.677392885246132</v>
      </c>
      <c r="E23" s="8">
        <f>[1]СВОД!E776</f>
        <v>25.224715206021379</v>
      </c>
      <c r="F23" s="8" t="e">
        <f>[1]СВОД!F776</f>
        <v>#REF!</v>
      </c>
    </row>
    <row r="24" spans="1:6" outlineLevel="1" x14ac:dyDescent="0.25">
      <c r="A24" s="17" t="str">
        <f>[1]СВОД!A777</f>
        <v xml:space="preserve"> - матраца </v>
      </c>
      <c r="B24" s="16" t="str">
        <f>[2]БОМЖ!C37</f>
        <v>1 услуга</v>
      </c>
      <c r="C24" s="32" t="e">
        <f t="shared" si="0"/>
        <v>#REF!</v>
      </c>
      <c r="D24" s="8">
        <f>[1]СВОД!C777</f>
        <v>29.345591868852722</v>
      </c>
      <c r="E24" s="8">
        <f>[1]СВОД!E777</f>
        <v>28.828245949738719</v>
      </c>
      <c r="F24" s="8" t="e">
        <f>[1]СВОД!F777</f>
        <v>#REF!</v>
      </c>
    </row>
    <row r="25" spans="1:6" ht="30" outlineLevel="1" x14ac:dyDescent="0.25">
      <c r="A25" s="17" t="str">
        <f>[1]СВОД!A778</f>
        <v>Предоставление ванной или душевой комнаты для помывки</v>
      </c>
      <c r="B25" s="16" t="str">
        <f>[2]БОМЖ!C38</f>
        <v>1 услуга</v>
      </c>
      <c r="C25" s="32" t="e">
        <f t="shared" si="0"/>
        <v>#REF!</v>
      </c>
      <c r="D25" s="8">
        <f>[1]СВОД!C778</f>
        <v>110.04596950819771</v>
      </c>
      <c r="E25" s="8">
        <f>[1]СВОД!E778</f>
        <v>108.1059223115202</v>
      </c>
      <c r="F25" s="8" t="e">
        <f>[1]СВОД!F778</f>
        <v>#REF!</v>
      </c>
    </row>
    <row r="26" spans="1:6" outlineLevel="1" x14ac:dyDescent="0.25">
      <c r="A26" s="17" t="str">
        <f>[1]СВОД!A779</f>
        <v>Услуги прачечной</v>
      </c>
      <c r="B26" s="16" t="str">
        <f>[2]БОМЖ!C39</f>
        <v>1 услуга</v>
      </c>
      <c r="C26" s="32" t="e">
        <f t="shared" si="0"/>
        <v>#REF!</v>
      </c>
      <c r="D26" s="8">
        <f>[1]СВОД!C779</f>
        <v>102.82984057501523</v>
      </c>
      <c r="E26" s="8">
        <f>[1]СВОД!E779</f>
        <v>97.295330080368174</v>
      </c>
      <c r="F26" s="8" t="e">
        <f>[1]СВОД!F779</f>
        <v>#REF!</v>
      </c>
    </row>
    <row r="27" spans="1:6" outlineLevel="1" x14ac:dyDescent="0.25">
      <c r="A27" s="17" t="str">
        <f>[1]СВОД!A780</f>
        <v>Социально-медицинские услуги</v>
      </c>
      <c r="B27" s="16"/>
      <c r="C27" s="32"/>
      <c r="D27" s="8"/>
      <c r="E27" s="8"/>
      <c r="F27" s="8"/>
    </row>
    <row r="28" spans="1:6" ht="30" outlineLevel="1" x14ac:dyDescent="0.25">
      <c r="A28" s="17" t="str">
        <f>[1]СВОД!A781</f>
        <v>Проведение противопедекулезной и санитарной обработки</v>
      </c>
      <c r="B28" s="16" t="str">
        <f>[2]БОМЖ!C41</f>
        <v>1 услуга</v>
      </c>
      <c r="C28" s="32" t="e">
        <f t="shared" si="0"/>
        <v>#REF!</v>
      </c>
      <c r="D28" s="8">
        <f>[1]СВОД!C781</f>
        <v>73.363979672131805</v>
      </c>
      <c r="E28" s="8">
        <f>[1]СВОД!E781</f>
        <v>72.070614874346802</v>
      </c>
      <c r="F28" s="8" t="e">
        <f>[1]СВОД!F781</f>
        <v>#REF!</v>
      </c>
    </row>
    <row r="29" spans="1:6" ht="30" outlineLevel="1" x14ac:dyDescent="0.25">
      <c r="A29" s="17" t="str">
        <f>[1]СВОД!A782</f>
        <v>Содействие в госпитализации в лечебно-профилактические  учреждения</v>
      </c>
      <c r="B29" s="16" t="str">
        <f>[2]БОМЖ!C42</f>
        <v>1 услуга</v>
      </c>
      <c r="C29" s="32" t="e">
        <f t="shared" si="0"/>
        <v>#REF!</v>
      </c>
      <c r="D29" s="8">
        <f>[1]СВОД!C782</f>
        <v>84.156365646445437</v>
      </c>
      <c r="E29" s="8">
        <f>[1]СВОД!E782</f>
        <v>84.156365646445437</v>
      </c>
      <c r="F29" s="8" t="e">
        <f>[1]СВОД!F782</f>
        <v>#REF!</v>
      </c>
    </row>
    <row r="30" spans="1:6" ht="75" outlineLevel="1" x14ac:dyDescent="0.25">
      <c r="A30" s="17" t="str">
        <f>[1]СВОД!A783</f>
        <v>Содействие в обеспечении нуждающихся  протезно-ортопедическими изделиями, специальными средствами для самообслуживания и ухода, другими средствами реабилитации</v>
      </c>
      <c r="B30" s="16" t="str">
        <f>[2]БОМЖ!C43</f>
        <v>1 услуга</v>
      </c>
      <c r="C30" s="32" t="e">
        <f t="shared" si="0"/>
        <v>#REF!</v>
      </c>
      <c r="D30" s="8">
        <f>[1]СВОД!C783</f>
        <v>419.3633600382949</v>
      </c>
      <c r="E30" s="8">
        <f>[1]СВОД!E783</f>
        <v>419.3633600382949</v>
      </c>
      <c r="F30" s="8" t="e">
        <f>[1]СВОД!F783</f>
        <v>#REF!</v>
      </c>
    </row>
    <row r="31" spans="1:6" ht="75" outlineLevel="1" x14ac:dyDescent="0.25">
      <c r="A31" s="17" t="str">
        <f>[1]СВОД!A784</f>
        <v>Содействие в проведении медико-социальной экспертизы на предмет установления или изменения группы инвалидности и степени ограничения способности к трудовой деятельности</v>
      </c>
      <c r="B31" s="16" t="str">
        <f>[2]БОМЖ!C44</f>
        <v>1 услуга</v>
      </c>
      <c r="C31" s="32" t="e">
        <f t="shared" si="0"/>
        <v>#REF!</v>
      </c>
      <c r="D31" s="8">
        <f>[1]СВОД!C784</f>
        <v>503.23603204595383</v>
      </c>
      <c r="E31" s="8">
        <f>[1]СВОД!E784</f>
        <v>503.23603204595383</v>
      </c>
      <c r="F31" s="8" t="e">
        <f>[1]СВОД!F784</f>
        <v>#REF!</v>
      </c>
    </row>
    <row r="32" spans="1:6" ht="46.5" customHeight="1" outlineLevel="1" x14ac:dyDescent="0.25">
      <c r="A32" s="17" t="str">
        <f>[1]СВОД!A785</f>
        <v>Содействие в оказании медицинской помощи в объёме базовой программы обязательного медицинского страхования граждан  РФ</v>
      </c>
      <c r="B32" s="16" t="str">
        <f>[2]БОМЖ!C45</f>
        <v>1 услуга</v>
      </c>
      <c r="C32" s="32" t="e">
        <f t="shared" si="0"/>
        <v>#REF!</v>
      </c>
      <c r="D32" s="8">
        <f>[1]СВОД!C785</f>
        <v>209.68168001914745</v>
      </c>
      <c r="E32" s="8">
        <f>[1]СВОД!E785</f>
        <v>209.68168001914745</v>
      </c>
      <c r="F32" s="8" t="e">
        <f>[1]СВОД!F785</f>
        <v>#REF!</v>
      </c>
    </row>
    <row r="33" spans="1:6" ht="30" outlineLevel="1" x14ac:dyDescent="0.25">
      <c r="A33" s="17" t="str">
        <f>[1]СВОД!A786</f>
        <v xml:space="preserve">Содействие в получении полиса обязательного медицинского страхования </v>
      </c>
      <c r="B33" s="16" t="str">
        <f>[2]БОМЖ!C46</f>
        <v>1 услуга</v>
      </c>
      <c r="C33" s="32" t="e">
        <f t="shared" si="0"/>
        <v>#REF!</v>
      </c>
      <c r="D33" s="8">
        <f>[1]СВОД!C786</f>
        <v>125.80900801148846</v>
      </c>
      <c r="E33" s="8">
        <f>[1]СВОД!E786</f>
        <v>125.80900801148846</v>
      </c>
      <c r="F33" s="8" t="e">
        <f>[1]СВОД!F786</f>
        <v>#REF!</v>
      </c>
    </row>
    <row r="34" spans="1:6" ht="30" outlineLevel="1" x14ac:dyDescent="0.25">
      <c r="A34" s="17" t="str">
        <f>[1]СВОД!A787</f>
        <v xml:space="preserve">Содействие в проведении социально-реабилитационных мероприятий </v>
      </c>
      <c r="B34" s="16" t="str">
        <f>[2]БОМЖ!C47</f>
        <v>1 услуга</v>
      </c>
      <c r="C34" s="32" t="e">
        <f t="shared" si="0"/>
        <v>#REF!</v>
      </c>
      <c r="D34" s="8">
        <f>[1]СВОД!C787</f>
        <v>377.42702403446538</v>
      </c>
      <c r="E34" s="8">
        <f>[1]СВОД!E787</f>
        <v>377.42702403446538</v>
      </c>
      <c r="F34" s="8" t="e">
        <f>[1]СВОД!F787</f>
        <v>#REF!</v>
      </c>
    </row>
    <row r="35" spans="1:6" outlineLevel="1" x14ac:dyDescent="0.25">
      <c r="A35" s="17" t="str">
        <f>[1]СВОД!A788</f>
        <v>Социально-психологические услуги</v>
      </c>
      <c r="B35" s="16"/>
      <c r="C35" s="32"/>
      <c r="D35" s="8"/>
      <c r="E35" s="8"/>
      <c r="F35" s="8"/>
    </row>
    <row r="36" spans="1:6" outlineLevel="1" x14ac:dyDescent="0.25">
      <c r="A36" s="17" t="str">
        <f>[1]СВОД!A789</f>
        <v>Психологическая  диагностика</v>
      </c>
      <c r="B36" s="16" t="str">
        <f>[2]БОМЖ!C49</f>
        <v>1 услуга</v>
      </c>
      <c r="C36" s="32" t="e">
        <f t="shared" si="0"/>
        <v>#REF!</v>
      </c>
      <c r="D36" s="8">
        <f>[1]СВОД!C789</f>
        <v>413.9361887619342</v>
      </c>
      <c r="E36" s="8">
        <f>[1]СВОД!E789</f>
        <v>413.9361887619342</v>
      </c>
      <c r="F36" s="8" t="e">
        <f>[1]СВОД!F789</f>
        <v>#REF!</v>
      </c>
    </row>
    <row r="37" spans="1:6" outlineLevel="1" x14ac:dyDescent="0.25">
      <c r="A37" s="17" t="str">
        <f>[1]СВОД!A790</f>
        <v>Проведение психокоррекционной работы</v>
      </c>
      <c r="B37" s="16" t="str">
        <f>[2]БОМЖ!C50</f>
        <v>1 услуга</v>
      </c>
      <c r="C37" s="32" t="e">
        <f t="shared" si="0"/>
        <v>#REF!</v>
      </c>
      <c r="D37" s="8">
        <f>[1]СВОД!C790</f>
        <v>206.9680943809671</v>
      </c>
      <c r="E37" s="8">
        <f>[1]СВОД!E790</f>
        <v>206.9680943809671</v>
      </c>
      <c r="F37" s="8" t="e">
        <f>[1]СВОД!F790</f>
        <v>#REF!</v>
      </c>
    </row>
    <row r="38" spans="1:6" outlineLevel="1" x14ac:dyDescent="0.25">
      <c r="A38" s="17" t="str">
        <f>[1]СВОД!A791</f>
        <v>Социально-педагогические услуги</v>
      </c>
      <c r="B38" s="16"/>
      <c r="C38" s="32"/>
      <c r="D38" s="8"/>
      <c r="E38" s="8"/>
      <c r="F38" s="8"/>
    </row>
    <row r="39" spans="1:6" ht="30" outlineLevel="1" x14ac:dyDescent="0.25">
      <c r="A39" s="17" t="str">
        <f>[1]СВОД!A792</f>
        <v xml:space="preserve">Содействие в обучении бездомных граждан, не имеющих профессиональных навыков </v>
      </c>
      <c r="B39" s="16" t="str">
        <f>[2]БОМЖ!C52</f>
        <v>1 услуга</v>
      </c>
      <c r="C39" s="32" t="e">
        <f t="shared" si="0"/>
        <v>#REF!</v>
      </c>
      <c r="D39" s="8">
        <f>[1]СВОД!C792</f>
        <v>241.46277677779494</v>
      </c>
      <c r="E39" s="8">
        <f>[1]СВОД!E792</f>
        <v>241.46277677779494</v>
      </c>
      <c r="F39" s="8" t="e">
        <f>[1]СВОД!F792</f>
        <v>#REF!</v>
      </c>
    </row>
    <row r="40" spans="1:6" ht="60" outlineLevel="1" x14ac:dyDescent="0.25">
      <c r="A40" s="17" t="str">
        <f>[1]СВОД!A793</f>
        <v xml:space="preserve">Осуществление  мероприятий по восстановлению профессиональных навыков, в том числе содействие в направлении на общественные работы. </v>
      </c>
      <c r="B40" s="16" t="str">
        <f>[2]БОМЖ!C53</f>
        <v>1 услуга</v>
      </c>
      <c r="C40" s="32" t="e">
        <f t="shared" si="0"/>
        <v>#REF!</v>
      </c>
      <c r="D40" s="8">
        <f>[1]СВОД!C793</f>
        <v>172.47341198413926</v>
      </c>
      <c r="E40" s="8">
        <f>[1]СВОД!E793</f>
        <v>172.47341198413926</v>
      </c>
      <c r="F40" s="8" t="e">
        <f>[1]СВОД!F793</f>
        <v>#REF!</v>
      </c>
    </row>
    <row r="41" spans="1:6" outlineLevel="1" x14ac:dyDescent="0.25">
      <c r="A41" s="17" t="str">
        <f>[1]СВОД!A794</f>
        <v>Содействие в трудоустройстве</v>
      </c>
      <c r="B41" s="16" t="str">
        <f>[2]БОМЖ!C54</f>
        <v>1 услуга</v>
      </c>
      <c r="C41" s="32" t="e">
        <f t="shared" si="0"/>
        <v>#REF!</v>
      </c>
      <c r="D41" s="8">
        <f>[1]СВОД!C794</f>
        <v>262.15958621589164</v>
      </c>
      <c r="E41" s="8">
        <f>[1]СВОД!E794</f>
        <v>262.15958621589164</v>
      </c>
      <c r="F41" s="8" t="e">
        <f>[1]СВОД!F794</f>
        <v>#REF!</v>
      </c>
    </row>
    <row r="42" spans="1:6" ht="30" outlineLevel="1" x14ac:dyDescent="0.25">
      <c r="A42" s="17" t="str">
        <f>[1]СВОД!A795</f>
        <v>Организация досуга (проведение культурно-досуговых мероприятий в учреждении)</v>
      </c>
      <c r="B42" s="16" t="str">
        <f>[2]БОМЖ!C55</f>
        <v>1 услуга</v>
      </c>
      <c r="C42" s="32" t="e">
        <f t="shared" si="0"/>
        <v>#REF!</v>
      </c>
      <c r="D42" s="8">
        <f>[1]СВОД!C795</f>
        <v>167.74534401531795</v>
      </c>
      <c r="E42" s="8">
        <f>[1]СВОД!E795</f>
        <v>167.74534401531795</v>
      </c>
      <c r="F42" s="8" t="e">
        <f>[1]СВОД!F795</f>
        <v>#REF!</v>
      </c>
    </row>
    <row r="43" spans="1:6" outlineLevel="1" x14ac:dyDescent="0.25">
      <c r="A43" s="17" t="str">
        <f>[1]СВОД!A796</f>
        <v>Социально-правовые услуги</v>
      </c>
      <c r="B43" s="16"/>
      <c r="C43" s="32"/>
      <c r="D43" s="8"/>
      <c r="E43" s="8"/>
      <c r="F43" s="8"/>
    </row>
    <row r="44" spans="1:6" ht="45" outlineLevel="1" x14ac:dyDescent="0.25">
      <c r="A44" s="17" t="str">
        <f>[1]СВОД!A797</f>
        <v>Содействие в оформлении документов (свидетельство о рождении, пенсионное удостоверение и т.д.)</v>
      </c>
      <c r="B44" s="16" t="str">
        <f>[2]БОМЖ!C57</f>
        <v>1 услуга</v>
      </c>
      <c r="C44" s="32" t="e">
        <f t="shared" si="0"/>
        <v>#REF!</v>
      </c>
      <c r="D44" s="8">
        <f>[1]СВОД!C797</f>
        <v>335.49068803063591</v>
      </c>
      <c r="E44" s="8">
        <f>[1]СВОД!E797</f>
        <v>335.49068803063591</v>
      </c>
      <c r="F44" s="8" t="e">
        <f>[1]СВОД!F797</f>
        <v>#REF!</v>
      </c>
    </row>
    <row r="45" spans="1:6" ht="45" outlineLevel="1" x14ac:dyDescent="0.25">
      <c r="A45" s="17" t="str">
        <f>[1]СВОД!A798</f>
        <v>Содействие в восстановлении документов, удостоверяющих личность, включая фотографические  на документы.</v>
      </c>
      <c r="B45" s="16" t="str">
        <f>[2]БОМЖ!C58</f>
        <v>1 услуга</v>
      </c>
      <c r="C45" s="32" t="e">
        <f t="shared" si="0"/>
        <v>#REF!</v>
      </c>
      <c r="D45" s="8">
        <f>[1]СВОД!C798</f>
        <v>251.61801602297692</v>
      </c>
      <c r="E45" s="8">
        <f>[1]СВОД!E798</f>
        <v>251.61801602297692</v>
      </c>
      <c r="F45" s="8" t="e">
        <f>[1]СВОД!F798</f>
        <v>#REF!</v>
      </c>
    </row>
    <row r="46" spans="1:6" ht="45" outlineLevel="1" x14ac:dyDescent="0.25">
      <c r="A46" s="17" t="str">
        <f>[1]СВОД!A799</f>
        <v>Содействие в оформлении регистрации по месту пребывания в паспортно-визовой службе</v>
      </c>
      <c r="B46" s="16" t="str">
        <f>[2]БОМЖ!C59</f>
        <v>1 услуга</v>
      </c>
      <c r="C46" s="32" t="e">
        <f t="shared" si="0"/>
        <v>#REF!</v>
      </c>
      <c r="D46" s="8">
        <f>[1]СВОД!C799</f>
        <v>293.55435202680644</v>
      </c>
      <c r="E46" s="8">
        <f>[1]СВОД!E799</f>
        <v>293.55435202680644</v>
      </c>
      <c r="F46" s="8" t="e">
        <f>[1]СВОД!F799</f>
        <v>#REF!</v>
      </c>
    </row>
    <row r="47" spans="1:6" ht="30" outlineLevel="1" x14ac:dyDescent="0.25">
      <c r="A47" s="17" t="str">
        <f>[1]СВОД!A800</f>
        <v>Содействие в поиске родственников и восстановлении утраченных связей с ними</v>
      </c>
      <c r="B47" s="16" t="str">
        <f>[2]БОМЖ!C60</f>
        <v>1 услуга</v>
      </c>
      <c r="C47" s="32" t="e">
        <f t="shared" si="0"/>
        <v>#REF!</v>
      </c>
      <c r="D47" s="8">
        <f>[1]СВОД!C800</f>
        <v>167.74534401531795</v>
      </c>
      <c r="E47" s="8">
        <f>[1]СВОД!E800</f>
        <v>167.74534401531795</v>
      </c>
      <c r="F47" s="8" t="e">
        <f>[1]СВОД!F800</f>
        <v>#REF!</v>
      </c>
    </row>
    <row r="48" spans="1:6" ht="105" outlineLevel="1" x14ac:dyDescent="0.25">
      <c r="A48" s="17" t="str">
        <f>[1]СВОД!A801</f>
        <v>Содействие в вопросах  восстановления утраченной жилплощади, работы (содействие в подготовке документов для поставки на учёт нуждающихся в жилплощади, судебное сопровождение по вопросу восстановления прав на утраченное жилье)</v>
      </c>
      <c r="B48" s="16" t="str">
        <f>[2]БОМЖ!C61</f>
        <v>1 услуга</v>
      </c>
      <c r="C48" s="32" t="e">
        <f t="shared" si="0"/>
        <v>#REF!</v>
      </c>
      <c r="D48" s="8">
        <f>[1]СВОД!C801</f>
        <v>527.81141005310826</v>
      </c>
      <c r="E48" s="8">
        <f>[1]СВОД!E801</f>
        <v>527.81141005310826</v>
      </c>
      <c r="F48" s="8" t="e">
        <f>[1]СВОД!F801</f>
        <v>#REF!</v>
      </c>
    </row>
    <row r="49" spans="1:6" ht="30" outlineLevel="1" x14ac:dyDescent="0.25">
      <c r="A49" s="17" t="str">
        <f>[1]СВОД!A802</f>
        <v>Содействие в решении вопросов пенсионного обеспечения</v>
      </c>
      <c r="B49" s="16" t="str">
        <f>[2]БОМЖ!C62</f>
        <v>1 услуга</v>
      </c>
      <c r="C49" s="32" t="e">
        <f t="shared" si="0"/>
        <v>#REF!</v>
      </c>
      <c r="D49" s="8">
        <f>[1]СВОД!C802</f>
        <v>251.61801602297692</v>
      </c>
      <c r="E49" s="8">
        <f>[1]СВОД!E802</f>
        <v>251.61801602297692</v>
      </c>
      <c r="F49" s="8" t="e">
        <f>[1]СВОД!F802</f>
        <v>#REF!</v>
      </c>
    </row>
    <row r="50" spans="1:6" ht="45" outlineLevel="1" x14ac:dyDescent="0.25">
      <c r="A50" s="17" t="str">
        <f>[1]СВОД!A803</f>
        <v xml:space="preserve">Оформление документов для направления в учреждения стационарного социального обслуживания </v>
      </c>
      <c r="B50" s="16" t="str">
        <f>[2]БОМЖ!C63</f>
        <v>1 услуга</v>
      </c>
      <c r="C50" s="32" t="e">
        <f t="shared" si="0"/>
        <v>#REF!</v>
      </c>
      <c r="D50" s="8">
        <f>[1]СВОД!C803</f>
        <v>419.3633600382949</v>
      </c>
      <c r="E50" s="8">
        <f>[1]СВОД!E803</f>
        <v>419.3633600382949</v>
      </c>
      <c r="F50" s="8" t="e">
        <f>[1]СВОД!F803</f>
        <v>#REF!</v>
      </c>
    </row>
  </sheetData>
  <mergeCells count="7">
    <mergeCell ref="F1:F2"/>
    <mergeCell ref="A3:F3"/>
    <mergeCell ref="A1:A2"/>
    <mergeCell ref="B1:B2"/>
    <mergeCell ref="C1:C2"/>
    <mergeCell ref="D1:D2"/>
    <mergeCell ref="E1:E2"/>
  </mergeCells>
  <phoneticPr fontId="15" type="noConversion"/>
  <conditionalFormatting sqref="F5:F6 G3:IU65536 C4:E6 C7:F65536 C1:IU2">
    <cfRule type="containsText" dxfId="35" priority="3" stopIfTrue="1" operator="containsText" text="#ЗНАЧ!">
      <formula>NOT(ISERROR(SEARCH("#ЗНАЧ!",C1)))</formula>
    </cfRule>
    <cfRule type="containsText" dxfId="34" priority="4" stopIfTrue="1" operator="containsText" text="#ЗНАЧ!">
      <formula>NOT(ISERROR(SEARCH("#ЗНАЧ!",C1)))</formula>
    </cfRule>
  </conditionalFormatting>
  <conditionalFormatting sqref="D4:D65536 D1:D2">
    <cfRule type="containsText" dxfId="33" priority="1" stopIfTrue="1" operator="containsText" text="#ЗНАЧ!">
      <formula>NOT(ISERROR(SEARCH("#ЗНАЧ!",D1)))</formula>
    </cfRule>
    <cfRule type="containsText" dxfId="32" priority="2" stopIfTrue="1" operator="containsText" text="#ЗНАЧ!">
      <formula>NOT(ISERROR(SEARCH("#ЗНАЧ!",D1)))</formula>
    </cfRule>
  </conditionalFormatting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42"/>
  <sheetViews>
    <sheetView zoomScaleNormal="100" workbookViewId="0">
      <selection activeCell="R1" sqref="R1"/>
    </sheetView>
  </sheetViews>
  <sheetFormatPr defaultRowHeight="15" outlineLevelCol="1" x14ac:dyDescent="0.2"/>
  <cols>
    <col min="1" max="1" width="53" style="42" customWidth="1"/>
    <col min="2" max="2" width="16.5703125" style="43" customWidth="1"/>
    <col min="3" max="3" width="22.85546875" style="43" hidden="1" customWidth="1" outlineLevel="1"/>
    <col min="4" max="4" width="33.140625" style="43" hidden="1" customWidth="1" outlineLevel="1"/>
    <col min="5" max="5" width="19.5703125" style="43" hidden="1" customWidth="1" outlineLevel="1"/>
    <col min="6" max="6" width="19.5703125" style="43" customWidth="1" collapsed="1"/>
    <col min="7" max="7" width="0.140625" style="36" hidden="1" customWidth="1"/>
    <col min="8" max="12" width="9.140625" style="36" hidden="1" customWidth="1"/>
    <col min="13" max="16384" width="9.140625" style="36"/>
  </cols>
  <sheetData>
    <row r="1" spans="1:11" ht="144.75" customHeight="1" x14ac:dyDescent="0.2">
      <c r="A1" s="249" t="s">
        <v>765</v>
      </c>
      <c r="B1" s="249"/>
      <c r="C1" s="249"/>
      <c r="D1" s="249"/>
      <c r="E1" s="249"/>
      <c r="F1" s="249"/>
    </row>
    <row r="2" spans="1:11" ht="24" customHeight="1" x14ac:dyDescent="0.2">
      <c r="A2" s="310"/>
      <c r="B2" s="310"/>
      <c r="C2" s="310"/>
      <c r="D2" s="310"/>
      <c r="E2" s="66"/>
      <c r="F2" s="167"/>
    </row>
    <row r="3" spans="1:11" ht="15" customHeight="1" x14ac:dyDescent="0.2">
      <c r="A3" s="241" t="s">
        <v>0</v>
      </c>
      <c r="B3" s="241" t="s">
        <v>1</v>
      </c>
      <c r="C3" s="241" t="s">
        <v>322</v>
      </c>
      <c r="D3" s="241" t="s">
        <v>322</v>
      </c>
      <c r="E3" s="241" t="s">
        <v>712</v>
      </c>
      <c r="F3" s="241" t="s">
        <v>712</v>
      </c>
    </row>
    <row r="4" spans="1:11" ht="30" customHeight="1" x14ac:dyDescent="0.2">
      <c r="A4" s="241"/>
      <c r="B4" s="241"/>
      <c r="C4" s="241"/>
      <c r="D4" s="241"/>
      <c r="E4" s="241"/>
      <c r="F4" s="241"/>
    </row>
    <row r="5" spans="1:11" ht="30" customHeight="1" x14ac:dyDescent="0.2">
      <c r="A5" s="274" t="s">
        <v>78</v>
      </c>
      <c r="B5" s="274"/>
      <c r="C5" s="274"/>
      <c r="D5" s="274"/>
      <c r="E5" s="274"/>
      <c r="F5" s="164"/>
    </row>
    <row r="6" spans="1:11" ht="60" x14ac:dyDescent="0.2">
      <c r="A6" s="191" t="s">
        <v>393</v>
      </c>
      <c r="B6" s="89" t="s">
        <v>623</v>
      </c>
      <c r="C6" s="166">
        <v>37.28</v>
      </c>
      <c r="D6" s="103">
        <f>ROUND(41*3+120,0)</f>
        <v>243</v>
      </c>
      <c r="E6" s="103">
        <v>279</v>
      </c>
      <c r="F6" s="103">
        <f t="shared" ref="F6:F17" si="0">E6*1.04</f>
        <v>290.16000000000003</v>
      </c>
      <c r="G6" s="36" t="s">
        <v>394</v>
      </c>
      <c r="K6" s="67"/>
    </row>
    <row r="7" spans="1:11" ht="45" x14ac:dyDescent="0.2">
      <c r="A7" s="65" t="s">
        <v>395</v>
      </c>
      <c r="B7" s="166"/>
      <c r="C7" s="166">
        <v>95.85</v>
      </c>
      <c r="D7" s="103"/>
      <c r="E7" s="103"/>
      <c r="F7" s="103"/>
    </row>
    <row r="8" spans="1:11" x14ac:dyDescent="0.2">
      <c r="A8" s="62" t="s">
        <v>396</v>
      </c>
      <c r="B8" s="166" t="s">
        <v>32</v>
      </c>
      <c r="C8" s="166"/>
      <c r="D8" s="103">
        <v>105</v>
      </c>
      <c r="E8" s="103">
        <v>121</v>
      </c>
      <c r="F8" s="103">
        <f t="shared" si="0"/>
        <v>125.84</v>
      </c>
    </row>
    <row r="9" spans="1:11" x14ac:dyDescent="0.2">
      <c r="A9" s="62" t="s">
        <v>397</v>
      </c>
      <c r="B9" s="166" t="s">
        <v>32</v>
      </c>
      <c r="C9" s="166"/>
      <c r="D9" s="103">
        <f>105*2</f>
        <v>210</v>
      </c>
      <c r="E9" s="103">
        <v>242</v>
      </c>
      <c r="F9" s="103">
        <f t="shared" si="0"/>
        <v>251.68</v>
      </c>
    </row>
    <row r="10" spans="1:11" ht="60" x14ac:dyDescent="0.2">
      <c r="A10" s="65" t="s">
        <v>398</v>
      </c>
      <c r="B10" s="166"/>
      <c r="C10" s="166"/>
      <c r="D10" s="166"/>
      <c r="E10" s="103"/>
      <c r="F10" s="103"/>
    </row>
    <row r="11" spans="1:11" x14ac:dyDescent="0.2">
      <c r="A11" s="65" t="s">
        <v>399</v>
      </c>
      <c r="B11" s="166" t="s">
        <v>361</v>
      </c>
      <c r="C11" s="166">
        <v>30</v>
      </c>
      <c r="D11" s="103">
        <f>ROUND(C11*1.1,0)</f>
        <v>33</v>
      </c>
      <c r="E11" s="103">
        <v>38</v>
      </c>
      <c r="F11" s="103">
        <f t="shared" si="0"/>
        <v>39.520000000000003</v>
      </c>
    </row>
    <row r="12" spans="1:11" ht="17.25" customHeight="1" x14ac:dyDescent="0.2">
      <c r="A12" s="65" t="s">
        <v>739</v>
      </c>
      <c r="B12" s="166" t="s">
        <v>361</v>
      </c>
      <c r="C12" s="166">
        <v>72</v>
      </c>
      <c r="D12" s="103">
        <f>ROUND(C12*1.1,0)</f>
        <v>79</v>
      </c>
      <c r="E12" s="103">
        <v>91</v>
      </c>
      <c r="F12" s="103">
        <f t="shared" si="0"/>
        <v>94.64</v>
      </c>
    </row>
    <row r="13" spans="1:11" x14ac:dyDescent="0.2">
      <c r="A13" s="65" t="s">
        <v>401</v>
      </c>
      <c r="B13" s="166" t="str">
        <f>[2]БОМЖ!C37</f>
        <v>1 услуга</v>
      </c>
      <c r="C13" s="166"/>
      <c r="D13" s="166">
        <f>ROUND((17+26+26)/3,0)</f>
        <v>23</v>
      </c>
      <c r="E13" s="103">
        <v>26</v>
      </c>
      <c r="F13" s="103">
        <f t="shared" si="0"/>
        <v>27.04</v>
      </c>
      <c r="G13" s="36" t="s">
        <v>400</v>
      </c>
    </row>
    <row r="14" spans="1:11" ht="50.25" customHeight="1" x14ac:dyDescent="0.2">
      <c r="A14" s="65" t="s">
        <v>402</v>
      </c>
      <c r="B14" s="166"/>
      <c r="C14" s="166">
        <v>92</v>
      </c>
      <c r="D14" s="103"/>
      <c r="E14" s="103"/>
      <c r="F14" s="103"/>
    </row>
    <row r="15" spans="1:11" ht="50.25" customHeight="1" x14ac:dyDescent="0.2">
      <c r="A15" s="68" t="s">
        <v>403</v>
      </c>
      <c r="B15" s="166" t="s">
        <v>32</v>
      </c>
      <c r="C15" s="166"/>
      <c r="D15" s="103">
        <v>101</v>
      </c>
      <c r="E15" s="103">
        <v>116</v>
      </c>
      <c r="F15" s="103">
        <f t="shared" si="0"/>
        <v>120.64</v>
      </c>
    </row>
    <row r="16" spans="1:11" ht="50.25" customHeight="1" x14ac:dyDescent="0.2">
      <c r="A16" s="68" t="s">
        <v>404</v>
      </c>
      <c r="B16" s="166" t="s">
        <v>32</v>
      </c>
      <c r="C16" s="166"/>
      <c r="D16" s="103">
        <v>101</v>
      </c>
      <c r="E16" s="103">
        <v>116</v>
      </c>
      <c r="F16" s="103">
        <f t="shared" si="0"/>
        <v>120.64</v>
      </c>
    </row>
    <row r="17" spans="1:6" x14ac:dyDescent="0.2">
      <c r="A17" s="68" t="s">
        <v>405</v>
      </c>
      <c r="B17" s="166" t="s">
        <v>32</v>
      </c>
      <c r="C17" s="166">
        <v>42.6</v>
      </c>
      <c r="D17" s="103">
        <f>ROUND(C17*1.1,0)</f>
        <v>47</v>
      </c>
      <c r="E17" s="103">
        <v>54</v>
      </c>
      <c r="F17" s="103">
        <f t="shared" si="0"/>
        <v>56.160000000000004</v>
      </c>
    </row>
    <row r="18" spans="1:6" x14ac:dyDescent="0.2">
      <c r="A18" s="68" t="s">
        <v>406</v>
      </c>
      <c r="B18" s="166" t="s">
        <v>32</v>
      </c>
      <c r="C18" s="166"/>
      <c r="D18" s="103">
        <v>234</v>
      </c>
      <c r="E18" s="103">
        <v>269</v>
      </c>
      <c r="F18" s="103">
        <f t="shared" ref="F18:F24" si="1">E18*1.04</f>
        <v>279.76</v>
      </c>
    </row>
    <row r="19" spans="1:6" ht="15.75" x14ac:dyDescent="0.2">
      <c r="A19" s="274" t="s">
        <v>91</v>
      </c>
      <c r="B19" s="274"/>
      <c r="C19" s="274"/>
      <c r="D19" s="274"/>
      <c r="E19" s="274"/>
      <c r="F19" s="164"/>
    </row>
    <row r="20" spans="1:6" ht="30" x14ac:dyDescent="0.2">
      <c r="A20" s="65" t="str">
        <f>[1]СВОД!A781</f>
        <v>Проведение противопедекулезной и санитарной обработки</v>
      </c>
      <c r="B20" s="166" t="str">
        <f>[2]БОМЖ!C41</f>
        <v>1 услуга</v>
      </c>
      <c r="C20" s="166">
        <v>61</v>
      </c>
      <c r="D20" s="103">
        <f t="shared" ref="D20:D25" si="2">ROUND(C20*1.1,0)</f>
        <v>67</v>
      </c>
      <c r="E20" s="103">
        <v>77</v>
      </c>
      <c r="F20" s="103">
        <f t="shared" si="1"/>
        <v>80.08</v>
      </c>
    </row>
    <row r="21" spans="1:6" ht="47.25" customHeight="1" x14ac:dyDescent="0.2">
      <c r="A21" s="65" t="s">
        <v>407</v>
      </c>
      <c r="B21" s="166" t="str">
        <f>[2]БОМЖ!C42</f>
        <v>1 услуга</v>
      </c>
      <c r="C21" s="166">
        <v>21.3</v>
      </c>
      <c r="D21" s="103">
        <f t="shared" si="2"/>
        <v>23</v>
      </c>
      <c r="E21" s="103">
        <v>26</v>
      </c>
      <c r="F21" s="103">
        <f>E21*1.04</f>
        <v>27.04</v>
      </c>
    </row>
    <row r="22" spans="1:6" ht="81.75" customHeight="1" x14ac:dyDescent="0.2">
      <c r="A22" s="65" t="s">
        <v>408</v>
      </c>
      <c r="B22" s="166" t="str">
        <f>[2]БОМЖ!C43</f>
        <v>1 услуга</v>
      </c>
      <c r="C22" s="166">
        <v>159.75</v>
      </c>
      <c r="D22" s="103">
        <f t="shared" si="2"/>
        <v>176</v>
      </c>
      <c r="E22" s="103">
        <v>202</v>
      </c>
      <c r="F22" s="103">
        <f t="shared" si="1"/>
        <v>210.08</v>
      </c>
    </row>
    <row r="23" spans="1:6" ht="30" x14ac:dyDescent="0.2">
      <c r="A23" s="65" t="s">
        <v>409</v>
      </c>
      <c r="B23" s="166" t="str">
        <f>[2]БОМЖ!C44</f>
        <v>1 услуга</v>
      </c>
      <c r="C23" s="166">
        <v>266.25</v>
      </c>
      <c r="D23" s="103">
        <f t="shared" si="2"/>
        <v>293</v>
      </c>
      <c r="E23" s="103">
        <v>337</v>
      </c>
      <c r="F23" s="103">
        <f t="shared" si="1"/>
        <v>350.48</v>
      </c>
    </row>
    <row r="24" spans="1:6" ht="99.75" customHeight="1" x14ac:dyDescent="0.2">
      <c r="A24" s="65" t="s">
        <v>410</v>
      </c>
      <c r="B24" s="166" t="str">
        <f>[2]БОМЖ!C45</f>
        <v>1 услуга</v>
      </c>
      <c r="C24" s="166">
        <v>26.63</v>
      </c>
      <c r="D24" s="103">
        <f t="shared" si="2"/>
        <v>29</v>
      </c>
      <c r="E24" s="103">
        <v>33</v>
      </c>
      <c r="F24" s="103">
        <f t="shared" si="1"/>
        <v>34.32</v>
      </c>
    </row>
    <row r="25" spans="1:6" ht="30" x14ac:dyDescent="0.2">
      <c r="A25" s="65" t="str">
        <f>[1]СВОД!A786</f>
        <v xml:space="preserve">Содействие в получении полиса обязательного медицинского страхования </v>
      </c>
      <c r="B25" s="166" t="str">
        <f>[2]БОМЖ!C46</f>
        <v>1 услуга</v>
      </c>
      <c r="C25" s="166">
        <v>104</v>
      </c>
      <c r="D25" s="103">
        <f t="shared" si="2"/>
        <v>114</v>
      </c>
      <c r="E25" s="103">
        <v>131</v>
      </c>
      <c r="F25" s="103">
        <f t="shared" ref="F25:F33" si="3">E25*1.04</f>
        <v>136.24</v>
      </c>
    </row>
    <row r="26" spans="1:6" ht="15.75" x14ac:dyDescent="0.2">
      <c r="A26" s="274" t="s">
        <v>73</v>
      </c>
      <c r="B26" s="274"/>
      <c r="C26" s="274"/>
      <c r="D26" s="274"/>
      <c r="E26" s="274"/>
      <c r="F26" s="164"/>
    </row>
    <row r="27" spans="1:6" ht="30" x14ac:dyDescent="0.2">
      <c r="A27" s="65" t="s">
        <v>411</v>
      </c>
      <c r="B27" s="166" t="str">
        <f>[2]БОМЖ!C49</f>
        <v>1 услуга</v>
      </c>
      <c r="C27" s="166">
        <v>159.75</v>
      </c>
      <c r="D27" s="103">
        <f>ROUND(C27*1.1,0)</f>
        <v>176</v>
      </c>
      <c r="E27" s="103">
        <v>202</v>
      </c>
      <c r="F27" s="103">
        <f t="shared" si="3"/>
        <v>210.08</v>
      </c>
    </row>
    <row r="28" spans="1:6" ht="45" x14ac:dyDescent="0.2">
      <c r="A28" s="65" t="s">
        <v>412</v>
      </c>
      <c r="B28" s="166" t="str">
        <f>[2]БОМЖ!C50</f>
        <v>1 услуга</v>
      </c>
      <c r="C28" s="166">
        <v>176</v>
      </c>
      <c r="D28" s="103">
        <f>ROUND(C28*1.1,0)</f>
        <v>194</v>
      </c>
      <c r="E28" s="103">
        <v>223</v>
      </c>
      <c r="F28" s="103">
        <f t="shared" si="3"/>
        <v>231.92000000000002</v>
      </c>
    </row>
    <row r="29" spans="1:6" ht="15.75" x14ac:dyDescent="0.25">
      <c r="A29" s="259" t="str">
        <f>[1]СВОД!A791</f>
        <v>Социально-педагогические услуги</v>
      </c>
      <c r="B29" s="259"/>
      <c r="C29" s="259"/>
      <c r="D29" s="259"/>
      <c r="E29" s="259"/>
      <c r="F29" s="162"/>
    </row>
    <row r="30" spans="1:6" ht="30" x14ac:dyDescent="0.2">
      <c r="A30" s="65" t="str">
        <f>[1]СВОД!A795</f>
        <v>Организация досуга (проведение культурно-досуговых мероприятий в учреждении)</v>
      </c>
      <c r="B30" s="166" t="str">
        <f>[2]БОМЖ!C55</f>
        <v>1 услуга</v>
      </c>
      <c r="C30" s="166">
        <v>106.5</v>
      </c>
      <c r="D30" s="103">
        <f>ROUND(C30*1.1,0)</f>
        <v>117</v>
      </c>
      <c r="E30" s="103">
        <v>135</v>
      </c>
      <c r="F30" s="103">
        <f t="shared" si="3"/>
        <v>140.4</v>
      </c>
    </row>
    <row r="31" spans="1:6" ht="15.75" x14ac:dyDescent="0.25">
      <c r="A31" s="259" t="str">
        <f>[1]СВОД!A796</f>
        <v>Социально-правовые услуги</v>
      </c>
      <c r="B31" s="259"/>
      <c r="C31" s="259"/>
      <c r="D31" s="259"/>
      <c r="E31" s="259"/>
      <c r="F31" s="162"/>
    </row>
    <row r="32" spans="1:6" ht="30" x14ac:dyDescent="0.2">
      <c r="A32" s="65" t="s">
        <v>413</v>
      </c>
      <c r="B32" s="166" t="str">
        <f>[2]БОМЖ!C57</f>
        <v>1 услуга</v>
      </c>
      <c r="C32" s="166">
        <v>213</v>
      </c>
      <c r="D32" s="103">
        <f>234+220</f>
        <v>454</v>
      </c>
      <c r="E32" s="103">
        <v>522</v>
      </c>
      <c r="F32" s="103">
        <f t="shared" si="3"/>
        <v>542.88</v>
      </c>
    </row>
    <row r="33" spans="1:6" ht="30" x14ac:dyDescent="0.2">
      <c r="A33" s="65" t="str">
        <f>[1]СВОД!A800</f>
        <v>Содействие в поиске родственников и восстановлении утраченных связей с ними</v>
      </c>
      <c r="B33" s="166" t="str">
        <f>[2]БОМЖ!C60</f>
        <v>1 услуга</v>
      </c>
      <c r="C33" s="166">
        <v>106.5</v>
      </c>
      <c r="D33" s="103">
        <f>ROUND(C33*1.1,0)</f>
        <v>117</v>
      </c>
      <c r="E33" s="103">
        <v>135</v>
      </c>
      <c r="F33" s="103">
        <f t="shared" si="3"/>
        <v>140.4</v>
      </c>
    </row>
    <row r="34" spans="1:6" ht="138" customHeight="1" x14ac:dyDescent="0.2">
      <c r="A34" s="65" t="s">
        <v>414</v>
      </c>
      <c r="B34" s="166" t="str">
        <f>[2]БОМЖ!C61</f>
        <v>1 услуга</v>
      </c>
      <c r="C34" s="166">
        <v>266.25</v>
      </c>
      <c r="D34" s="103">
        <f>ROUND(C34*1.1,0)</f>
        <v>293</v>
      </c>
      <c r="E34" s="103">
        <v>337</v>
      </c>
      <c r="F34" s="103">
        <f>E34*1.04</f>
        <v>350.48</v>
      </c>
    </row>
    <row r="35" spans="1:6" ht="75" x14ac:dyDescent="0.2">
      <c r="A35" s="65" t="s">
        <v>415</v>
      </c>
      <c r="B35" s="166" t="str">
        <f>[2]БОМЖ!C62</f>
        <v>1 услуга</v>
      </c>
      <c r="C35" s="166">
        <v>200</v>
      </c>
      <c r="D35" s="103">
        <f>ROUND(C35*1.1,0)</f>
        <v>220</v>
      </c>
      <c r="E35" s="103">
        <v>253</v>
      </c>
      <c r="F35" s="103">
        <f t="shared" ref="F35:F37" si="4">E35*1.04</f>
        <v>263.12</v>
      </c>
    </row>
    <row r="36" spans="1:6" ht="75" x14ac:dyDescent="0.2">
      <c r="A36" s="65" t="s">
        <v>416</v>
      </c>
      <c r="B36" s="166" t="str">
        <f>[2]БОМЖ!C63</f>
        <v>1 услуга</v>
      </c>
      <c r="C36" s="166">
        <v>213</v>
      </c>
      <c r="D36" s="103">
        <f>ROUND(C36*1.1,0)</f>
        <v>234</v>
      </c>
      <c r="E36" s="103">
        <v>269</v>
      </c>
      <c r="F36" s="103">
        <f t="shared" si="4"/>
        <v>279.76</v>
      </c>
    </row>
    <row r="37" spans="1:6" ht="75" x14ac:dyDescent="0.2">
      <c r="A37" s="65" t="s">
        <v>417</v>
      </c>
      <c r="B37" s="166" t="str">
        <f>[2]БОМЖ!C59</f>
        <v>1 услуга</v>
      </c>
      <c r="C37" s="166">
        <v>242</v>
      </c>
      <c r="D37" s="103">
        <f>ROUND(C37*1.1,0)</f>
        <v>266</v>
      </c>
      <c r="E37" s="103">
        <v>306</v>
      </c>
      <c r="F37" s="103">
        <f t="shared" si="4"/>
        <v>318.24</v>
      </c>
    </row>
    <row r="38" spans="1:6" ht="75" x14ac:dyDescent="0.2">
      <c r="A38" s="65" t="s">
        <v>418</v>
      </c>
      <c r="B38" s="166" t="s">
        <v>32</v>
      </c>
      <c r="C38" s="166">
        <v>213</v>
      </c>
      <c r="D38" s="103">
        <v>234</v>
      </c>
      <c r="E38" s="103">
        <v>269</v>
      </c>
      <c r="F38" s="103">
        <f>E38*1.04</f>
        <v>279.76</v>
      </c>
    </row>
    <row r="39" spans="1:6" ht="15.75" x14ac:dyDescent="0.25">
      <c r="A39" s="259" t="s">
        <v>422</v>
      </c>
      <c r="B39" s="259"/>
      <c r="C39" s="259"/>
      <c r="D39" s="259"/>
      <c r="E39" s="259"/>
      <c r="F39" s="162"/>
    </row>
    <row r="40" spans="1:6" x14ac:dyDescent="0.2">
      <c r="A40" s="65" t="s">
        <v>419</v>
      </c>
      <c r="B40" s="166" t="s">
        <v>32</v>
      </c>
      <c r="C40" s="166">
        <v>213</v>
      </c>
      <c r="D40" s="103">
        <v>234</v>
      </c>
      <c r="E40" s="103">
        <v>269</v>
      </c>
      <c r="F40" s="103">
        <f>E40*1.04</f>
        <v>279.76</v>
      </c>
    </row>
    <row r="41" spans="1:6" ht="60" x14ac:dyDescent="0.2">
      <c r="A41" s="192" t="s">
        <v>420</v>
      </c>
      <c r="B41" s="193" t="s">
        <v>32</v>
      </c>
      <c r="C41" s="68">
        <v>106.5</v>
      </c>
      <c r="D41" s="68">
        <v>117</v>
      </c>
      <c r="E41" s="103">
        <v>135</v>
      </c>
      <c r="F41" s="103">
        <f>E41*1.04</f>
        <v>140.4</v>
      </c>
    </row>
    <row r="42" spans="1:6" ht="45" x14ac:dyDescent="0.2">
      <c r="A42" s="192" t="s">
        <v>421</v>
      </c>
      <c r="B42" s="193" t="s">
        <v>32</v>
      </c>
      <c r="C42" s="68">
        <v>117</v>
      </c>
      <c r="D42" s="68">
        <v>241.83898217565311</v>
      </c>
      <c r="E42" s="103">
        <v>278</v>
      </c>
      <c r="F42" s="103">
        <f>E42*1.04</f>
        <v>289.12</v>
      </c>
    </row>
  </sheetData>
  <mergeCells count="14">
    <mergeCell ref="F3:F4"/>
    <mergeCell ref="A1:F1"/>
    <mergeCell ref="A39:E39"/>
    <mergeCell ref="A2:D2"/>
    <mergeCell ref="E3:E4"/>
    <mergeCell ref="A5:E5"/>
    <mergeCell ref="C3:C4"/>
    <mergeCell ref="D3:D4"/>
    <mergeCell ref="A19:E19"/>
    <mergeCell ref="A26:E26"/>
    <mergeCell ref="A29:E29"/>
    <mergeCell ref="A31:E31"/>
    <mergeCell ref="A3:A4"/>
    <mergeCell ref="B3:B4"/>
  </mergeCells>
  <phoneticPr fontId="15" type="noConversion"/>
  <conditionalFormatting sqref="G41:IV1048576 C32:E38 C40:D40 C20:E25 C27:E28 C30:E30 G40:J40 C6:E18 G1:IV39">
    <cfRule type="containsText" dxfId="31" priority="55" stopIfTrue="1" operator="containsText" text="#ЗНАЧ!">
      <formula>NOT(ISERROR(SEARCH("#ЗНАЧ!",C1)))</formula>
    </cfRule>
    <cfRule type="containsText" dxfId="30" priority="56" stopIfTrue="1" operator="containsText" text="#ЗНАЧ!">
      <formula>NOT(ISERROR(SEARCH("#ЗНАЧ!",C1)))</formula>
    </cfRule>
  </conditionalFormatting>
  <conditionalFormatting sqref="C3:D3">
    <cfRule type="containsText" dxfId="29" priority="43" stopIfTrue="1" operator="containsText" text="#ЗНАЧ!">
      <formula>NOT(ISERROR(SEARCH("#ЗНАЧ!",C3)))</formula>
    </cfRule>
    <cfRule type="containsText" dxfId="28" priority="44" stopIfTrue="1" operator="containsText" text="#ЗНАЧ!">
      <formula>NOT(ISERROR(SEARCH("#ЗНАЧ!",C3)))</formula>
    </cfRule>
  </conditionalFormatting>
  <conditionalFormatting sqref="B3">
    <cfRule type="containsText" dxfId="27" priority="41" stopIfTrue="1" operator="containsText" text="#ЗНАЧ!">
      <formula>NOT(ISERROR(SEARCH("#ЗНАЧ!",B3)))</formula>
    </cfRule>
    <cfRule type="containsText" dxfId="26" priority="42" stopIfTrue="1" operator="containsText" text="#ЗНАЧ!">
      <formula>NOT(ISERROR(SEARCH("#ЗНАЧ!",B3)))</formula>
    </cfRule>
  </conditionalFormatting>
  <conditionalFormatting sqref="K40:IV40">
    <cfRule type="containsText" dxfId="25" priority="31" stopIfTrue="1" operator="containsText" text="#ЗНАЧ!">
      <formula>NOT(ISERROR(SEARCH("#ЗНАЧ!",K40)))</formula>
    </cfRule>
    <cfRule type="containsText" dxfId="24" priority="32" stopIfTrue="1" operator="containsText" text="#ЗНАЧ!">
      <formula>NOT(ISERROR(SEARCH("#ЗНАЧ!",K40)))</formula>
    </cfRule>
  </conditionalFormatting>
  <conditionalFormatting sqref="E3">
    <cfRule type="containsText" dxfId="23" priority="25" stopIfTrue="1" operator="containsText" text="#ЗНАЧ!">
      <formula>NOT(ISERROR(SEARCH("#ЗНАЧ!",E3)))</formula>
    </cfRule>
    <cfRule type="containsText" dxfId="22" priority="26" stopIfTrue="1" operator="containsText" text="#ЗНАЧ!">
      <formula>NOT(ISERROR(SEARCH("#ЗНАЧ!",E3)))</formula>
    </cfRule>
  </conditionalFormatting>
  <conditionalFormatting sqref="E40:E42">
    <cfRule type="containsText" dxfId="21" priority="21" stopIfTrue="1" operator="containsText" text="#ЗНАЧ!">
      <formula>NOT(ISERROR(SEARCH("#ЗНАЧ!",E40)))</formula>
    </cfRule>
    <cfRule type="containsText" dxfId="20" priority="22" stopIfTrue="1" operator="containsText" text="#ЗНАЧ!">
      <formula>NOT(ISERROR(SEARCH("#ЗНАЧ!",E40)))</formula>
    </cfRule>
  </conditionalFormatting>
  <conditionalFormatting sqref="F7 F10">
    <cfRule type="containsText" dxfId="19" priority="19" stopIfTrue="1" operator="containsText" text="#ЗНАЧ!">
      <formula>NOT(ISERROR(SEARCH("#ЗНАЧ!",F7)))</formula>
    </cfRule>
    <cfRule type="containsText" dxfId="18" priority="20" stopIfTrue="1" operator="containsText" text="#ЗНАЧ!">
      <formula>NOT(ISERROR(SEARCH("#ЗНАЧ!",F7)))</formula>
    </cfRule>
  </conditionalFormatting>
  <conditionalFormatting sqref="F3">
    <cfRule type="containsText" dxfId="17" priority="17" stopIfTrue="1" operator="containsText" text="#ЗНАЧ!">
      <formula>NOT(ISERROR(SEARCH("#ЗНАЧ!",F3)))</formula>
    </cfRule>
    <cfRule type="containsText" dxfId="16" priority="18" stopIfTrue="1" operator="containsText" text="#ЗНАЧ!">
      <formula>NOT(ISERROR(SEARCH("#ЗНАЧ!",F3)))</formula>
    </cfRule>
  </conditionalFormatting>
  <conditionalFormatting sqref="F40:F42">
    <cfRule type="containsText" dxfId="15" priority="15" stopIfTrue="1" operator="containsText" text="#ЗНАЧ!">
      <formula>NOT(ISERROR(SEARCH("#ЗНАЧ!",F40)))</formula>
    </cfRule>
    <cfRule type="containsText" dxfId="14" priority="16" stopIfTrue="1" operator="containsText" text="#ЗНАЧ!">
      <formula>NOT(ISERROR(SEARCH("#ЗНАЧ!",F40)))</formula>
    </cfRule>
  </conditionalFormatting>
  <conditionalFormatting sqref="F32:F38">
    <cfRule type="containsText" dxfId="13" priority="13" stopIfTrue="1" operator="containsText" text="#ЗНАЧ!">
      <formula>NOT(ISERROR(SEARCH("#ЗНАЧ!",F32)))</formula>
    </cfRule>
    <cfRule type="containsText" dxfId="12" priority="14" stopIfTrue="1" operator="containsText" text="#ЗНАЧ!">
      <formula>NOT(ISERROR(SEARCH("#ЗНАЧ!",F32)))</formula>
    </cfRule>
  </conditionalFormatting>
  <conditionalFormatting sqref="F30">
    <cfRule type="containsText" dxfId="11" priority="11" stopIfTrue="1" operator="containsText" text="#ЗНАЧ!">
      <formula>NOT(ISERROR(SEARCH("#ЗНАЧ!",F30)))</formula>
    </cfRule>
    <cfRule type="containsText" dxfId="10" priority="12" stopIfTrue="1" operator="containsText" text="#ЗНАЧ!">
      <formula>NOT(ISERROR(SEARCH("#ЗНАЧ!",F30)))</formula>
    </cfRule>
  </conditionalFormatting>
  <conditionalFormatting sqref="F27:F28">
    <cfRule type="containsText" dxfId="9" priority="9" stopIfTrue="1" operator="containsText" text="#ЗНАЧ!">
      <formula>NOT(ISERROR(SEARCH("#ЗНАЧ!",F27)))</formula>
    </cfRule>
    <cfRule type="containsText" dxfId="8" priority="10" stopIfTrue="1" operator="containsText" text="#ЗНАЧ!">
      <formula>NOT(ISERROR(SEARCH("#ЗНАЧ!",F27)))</formula>
    </cfRule>
  </conditionalFormatting>
  <conditionalFormatting sqref="F20:F25">
    <cfRule type="containsText" dxfId="7" priority="7" stopIfTrue="1" operator="containsText" text="#ЗНАЧ!">
      <formula>NOT(ISERROR(SEARCH("#ЗНАЧ!",F20)))</formula>
    </cfRule>
    <cfRule type="containsText" dxfId="6" priority="8" stopIfTrue="1" operator="containsText" text="#ЗНАЧ!">
      <formula>NOT(ISERROR(SEARCH("#ЗНАЧ!",F20)))</formula>
    </cfRule>
  </conditionalFormatting>
  <conditionalFormatting sqref="F11:F18">
    <cfRule type="containsText" dxfId="5" priority="5" stopIfTrue="1" operator="containsText" text="#ЗНАЧ!">
      <formula>NOT(ISERROR(SEARCH("#ЗНАЧ!",F11)))</formula>
    </cfRule>
    <cfRule type="containsText" dxfId="4" priority="6" stopIfTrue="1" operator="containsText" text="#ЗНАЧ!">
      <formula>NOT(ISERROR(SEARCH("#ЗНАЧ!",F11)))</formula>
    </cfRule>
  </conditionalFormatting>
  <conditionalFormatting sqref="F8:F9">
    <cfRule type="containsText" dxfId="3" priority="3" stopIfTrue="1" operator="containsText" text="#ЗНАЧ!">
      <formula>NOT(ISERROR(SEARCH("#ЗНАЧ!",F8)))</formula>
    </cfRule>
    <cfRule type="containsText" dxfId="2" priority="4" stopIfTrue="1" operator="containsText" text="#ЗНАЧ!">
      <formula>NOT(ISERROR(SEARCH("#ЗНАЧ!",F8)))</formula>
    </cfRule>
  </conditionalFormatting>
  <conditionalFormatting sqref="F6">
    <cfRule type="containsText" dxfId="1" priority="1" stopIfTrue="1" operator="containsText" text="#ЗНАЧ!">
      <formula>NOT(ISERROR(SEARCH("#ЗНАЧ!",F6)))</formula>
    </cfRule>
    <cfRule type="containsText" dxfId="0" priority="2" stopIfTrue="1" operator="containsText" text="#ЗНАЧ!">
      <formula>NOT(ISERROR(SEARCH("#ЗНАЧ!",F6)))</formula>
    </cfRule>
  </conditionalFormatting>
  <pageMargins left="0.70866141732283472" right="0.70866141732283472" top="0.74803149606299213" bottom="0.19685039370078741" header="0.31496062992125984" footer="0.31496062992125984"/>
  <pageSetup paperSize="9" scale="97" fitToHeight="0" orientation="portrait" r:id="rId1"/>
  <rowBreaks count="2" manualBreakCount="2">
    <brk id="22" max="5" man="1"/>
    <brk id="3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7</vt:i4>
      </vt:variant>
    </vt:vector>
  </HeadingPairs>
  <TitlesOfParts>
    <vt:vector size="14" baseType="lpstr">
      <vt:lpstr>1.НАДОМКА</vt:lpstr>
      <vt:lpstr>1.НАДОМКА </vt:lpstr>
      <vt:lpstr>2.Полустац.</vt:lpstr>
      <vt:lpstr>3.СТАЦ. </vt:lpstr>
      <vt:lpstr>3.СТАЦ.(дет.)3.2.</vt:lpstr>
      <vt:lpstr>5.БОМЖ</vt:lpstr>
      <vt:lpstr>4.БОМЖ </vt:lpstr>
      <vt:lpstr>'1.НАДОМКА '!Заголовки_для_печати</vt:lpstr>
      <vt:lpstr>'2.Полустац.'!Заголовки_для_печати</vt:lpstr>
      <vt:lpstr>'3.СТАЦ. '!Заголовки_для_печати</vt:lpstr>
      <vt:lpstr>'4.БОМЖ '!Заголовки_для_печати</vt:lpstr>
      <vt:lpstr>'2.Полустац.'!Область_печати</vt:lpstr>
      <vt:lpstr>'3.СТАЦ. '!Область_печати</vt:lpstr>
      <vt:lpstr>'4.БОМЖ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Томи</dc:creator>
  <cp:lastModifiedBy>Кочнев Юрий Николаевич</cp:lastModifiedBy>
  <cp:lastPrinted>2016-03-16T06:37:40Z</cp:lastPrinted>
  <dcterms:created xsi:type="dcterms:W3CDTF">2012-05-29T09:48:33Z</dcterms:created>
  <dcterms:modified xsi:type="dcterms:W3CDTF">2016-03-16T06:56:14Z</dcterms:modified>
</cp:coreProperties>
</file>